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5" activeTab="3"/>
  </bookViews>
  <sheets>
    <sheet name="Guide" sheetId="1" r:id="rId1"/>
    <sheet name="Standards" sheetId="2" r:id="rId2"/>
    <sheet name="Dairy example" sheetId="3" r:id="rId3"/>
    <sheet name="Dairy summary" sheetId="4" r:id="rId4"/>
  </sheets>
  <definedNames>
    <definedName name="excreta_on_yards">'Dairy example'!$C$7</definedName>
    <definedName name="Housed_period__days">'Dairy example'!$C$6</definedName>
    <definedName name="m_graz">'Dairy example'!$C$10</definedName>
    <definedName name="m_hous">'Dairy example'!$C$12</definedName>
    <definedName name="m_yard">'Dairy example'!$C$11</definedName>
    <definedName name="N_Excretion">'Dairy example'!$C$4</definedName>
    <definedName name="Number_of_livestock">'Dairy example'!$C$3</definedName>
    <definedName name="TAN_excr">'Dairy example'!$C$5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14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2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3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3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5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5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5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6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6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17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117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2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42</t>
        </r>
      </text>
    </comment>
    <comment ref="D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43</t>
        </r>
      </text>
    </comment>
  </commentList>
</comments>
</file>

<file path=xl/sharedStrings.xml><?xml version="1.0" encoding="utf-8"?>
<sst xmlns="http://schemas.openxmlformats.org/spreadsheetml/2006/main" count="270" uniqueCount="237">
  <si>
    <t>Cells that need to be edited when changing livestock category</t>
  </si>
  <si>
    <t>Langeliai, kuriose reikia pakeisti skaičius kai pakeičiama gyvūnų klasė</t>
  </si>
  <si>
    <t>Cells that should not be altered</t>
  </si>
  <si>
    <t>Langeliai, kurių nereikia koreguoti</t>
  </si>
  <si>
    <t>Cells into which activity data should be input</t>
  </si>
  <si>
    <t>Langeliai, kuriuose veiklos duomenys turi būti įrašomi</t>
  </si>
  <si>
    <t>Cells that are calculated by the spreadsheet</t>
  </si>
  <si>
    <t>Langeliai, kuriuose suskaičiuotos reikšmės automatiškai</t>
  </si>
  <si>
    <t>Equation numbers, as in 3B</t>
  </si>
  <si>
    <t>Žormulės numeris kai ir 3B</t>
  </si>
  <si>
    <t>Standards worksheet contains constants (e.g. Emission factors)</t>
  </si>
  <si>
    <t>xx example worksheets contain examples for livestock categories</t>
  </si>
  <si>
    <t>xxsummary worksheets contain the summary data from the relevant livestock category</t>
  </si>
  <si>
    <t>Grand total worksheet contains the total emissions (sum from all livestock categories)</t>
  </si>
  <si>
    <t>Livestock class</t>
  </si>
  <si>
    <t>Nex (kg/yr)</t>
  </si>
  <si>
    <t>Prop TAN</t>
  </si>
  <si>
    <t>Straw , kg/yr (C54)</t>
  </si>
  <si>
    <t>N added in bedding, kg/animal/yr</t>
  </si>
  <si>
    <t>Housing period, d</t>
  </si>
  <si>
    <t>% excreta on yards (C30)</t>
  </si>
  <si>
    <t>EF NH3 house, slurry</t>
  </si>
  <si>
    <t>EF NH3 house, solid</t>
  </si>
  <si>
    <t>EF NH3 yard</t>
  </si>
  <si>
    <t>EF NH3 storage, slurry</t>
  </si>
  <si>
    <t>EF NH3 storage, solid</t>
  </si>
  <si>
    <t>EF N2O storage, slurry</t>
  </si>
  <si>
    <t>EF N2O storage, solid</t>
  </si>
  <si>
    <t>EF NO storage, slurry</t>
  </si>
  <si>
    <t>EF NO storage, solid</t>
  </si>
  <si>
    <t>EF N2 storage, slurry</t>
  </si>
  <si>
    <t>EF N2 storage, solid</t>
  </si>
  <si>
    <t>EF storage leaching, solid</t>
  </si>
  <si>
    <t>EF NH3 application, slurry</t>
  </si>
  <si>
    <t>EF NH3 application, solid</t>
  </si>
  <si>
    <t>EF NH3 grazing</t>
  </si>
  <si>
    <t>Melžiamos karvės</t>
  </si>
  <si>
    <t>Dairy cows (100901)</t>
  </si>
  <si>
    <t>Kiti galvijai</t>
  </si>
  <si>
    <t>Other cattle (100902)</t>
  </si>
  <si>
    <t>Penimos kiaulės</t>
  </si>
  <si>
    <t>Fattng pigs (100903)</t>
  </si>
  <si>
    <t>Paršavedės</t>
  </si>
  <si>
    <t>Sows (100904)</t>
  </si>
  <si>
    <t>Avys ir ožkos</t>
  </si>
  <si>
    <t>Sheep &amp; goats (100905)</t>
  </si>
  <si>
    <t>Arkliai</t>
  </si>
  <si>
    <t>Horses etc (100906)</t>
  </si>
  <si>
    <t>Vištos dedeklės</t>
  </si>
  <si>
    <t>Layers (100907)</t>
  </si>
  <si>
    <t>Broileriai</t>
  </si>
  <si>
    <t>Broilers (100908)</t>
  </si>
  <si>
    <t>Kalakutai</t>
  </si>
  <si>
    <t>Turkeys (100909)</t>
  </si>
  <si>
    <t>Antys</t>
  </si>
  <si>
    <t>Ducks (100909)</t>
  </si>
  <si>
    <t>Žąsys</t>
  </si>
  <si>
    <t>Geese (100909)</t>
  </si>
  <si>
    <t>Kailiniai gyvūnai</t>
  </si>
  <si>
    <t>Fur animals (1009100</t>
  </si>
  <si>
    <t>Kupranugariai</t>
  </si>
  <si>
    <t xml:space="preserve"> Camels (100913)</t>
  </si>
  <si>
    <t>Buivolai</t>
  </si>
  <si>
    <t>Buffalos (100914)</t>
  </si>
  <si>
    <t>*</t>
  </si>
  <si>
    <t>raudonai paryškinti naudoti koeficientai</t>
  </si>
  <si>
    <t>Šiaudų kiekis sunaudotas per periodą vienam gyvuliui</t>
  </si>
  <si>
    <t>N- kiekis esantis šiauduose</t>
  </si>
  <si>
    <t>Step 3.  Calculation of Total N  excretion deposited in buildings, on outdoor yards and on grazed land</t>
  </si>
  <si>
    <r>
      <t xml:space="preserve">Input data 
</t>
    </r>
    <r>
      <rPr>
        <b/>
        <i/>
        <sz val="11"/>
        <color indexed="15"/>
        <rFont val="Arial"/>
        <family val="2"/>
      </rPr>
      <t>Įvesties duomenys</t>
    </r>
  </si>
  <si>
    <t>Number of livestock</t>
  </si>
  <si>
    <t>N Excretion kg</t>
  </si>
  <si>
    <t>% TAN excr</t>
  </si>
  <si>
    <t>Housed period, days</t>
  </si>
  <si>
    <t>% excreta on yards</t>
  </si>
  <si>
    <t>Calculations</t>
  </si>
  <si>
    <t>Equation 5</t>
  </si>
  <si>
    <t>m_grazN</t>
  </si>
  <si>
    <t>Equation 6</t>
  </si>
  <si>
    <t>m_yardN</t>
  </si>
  <si>
    <t>Equation 7</t>
  </si>
  <si>
    <t>m_buildN</t>
  </si>
  <si>
    <t>Total</t>
  </si>
  <si>
    <t>Check</t>
  </si>
  <si>
    <t>Step 4.  Allocation of organic-N and TAN excretion between buildings, outdoor yards and grazing</t>
  </si>
  <si>
    <t>Input data</t>
  </si>
  <si>
    <t>Equation 8</t>
  </si>
  <si>
    <t>m_graz,TAN</t>
  </si>
  <si>
    <t>Equation 9</t>
  </si>
  <si>
    <t>m_yard,TAN</t>
  </si>
  <si>
    <t>Equation 10</t>
  </si>
  <si>
    <t>m_build,TAN</t>
  </si>
  <si>
    <t>Step 5.  Estimate amounts of TAN deposited in buildings as slurry or FYM</t>
  </si>
  <si>
    <t>Proportion of livestock housed on slurry-based system (%)</t>
  </si>
  <si>
    <t>Susidaro skystas mėšlas</t>
  </si>
  <si>
    <t>Proportion of livestock housed on FYM-based system (%)</t>
  </si>
  <si>
    <t>Su mėšlo išmetimo sistema</t>
  </si>
  <si>
    <t>Equation 11</t>
  </si>
  <si>
    <r>
      <t>m</t>
    </r>
    <r>
      <rPr>
        <i/>
        <vertAlign val="subscript"/>
        <sz val="11"/>
        <rFont val="Arial"/>
        <family val="2"/>
      </rPr>
      <t>build_slurry_TAN</t>
    </r>
    <r>
      <rPr>
        <i/>
        <sz val="11"/>
        <rFont val="Arial"/>
        <family val="2"/>
      </rPr>
      <t xml:space="preserve"> </t>
    </r>
  </si>
  <si>
    <t>Equation 12</t>
  </si>
  <si>
    <r>
      <t>m</t>
    </r>
    <r>
      <rPr>
        <i/>
        <vertAlign val="subscript"/>
        <sz val="11"/>
        <rFont val="Arial"/>
        <family val="2"/>
      </rPr>
      <t>build_slurry_N</t>
    </r>
    <r>
      <rPr>
        <i/>
        <sz val="11"/>
        <rFont val="Arial"/>
        <family val="2"/>
      </rPr>
      <t xml:space="preserve"> </t>
    </r>
  </si>
  <si>
    <t>Equation 13</t>
  </si>
  <si>
    <r>
      <t>m</t>
    </r>
    <r>
      <rPr>
        <i/>
        <vertAlign val="subscript"/>
        <sz val="11"/>
        <rFont val="Arial"/>
        <family val="2"/>
      </rPr>
      <t>build_solid_TAN</t>
    </r>
    <r>
      <rPr>
        <i/>
        <sz val="11"/>
        <rFont val="Arial"/>
        <family val="2"/>
      </rPr>
      <t xml:space="preserve"> </t>
    </r>
  </si>
  <si>
    <t>Equation 14</t>
  </si>
  <si>
    <r>
      <t>m</t>
    </r>
    <r>
      <rPr>
        <i/>
        <vertAlign val="subscript"/>
        <sz val="11"/>
        <rFont val="Arial"/>
        <family val="2"/>
      </rPr>
      <t>build_solid_N</t>
    </r>
  </si>
  <si>
    <t xml:space="preserve"> </t>
  </si>
  <si>
    <t>Step 6.  Calculate emissions from buildings and yards</t>
  </si>
  <si>
    <t>Equation 15</t>
  </si>
  <si>
    <r>
      <t>E</t>
    </r>
    <r>
      <rPr>
        <i/>
        <vertAlign val="subscript"/>
        <sz val="11"/>
        <rFont val="Arial"/>
        <family val="2"/>
      </rPr>
      <t>build_slurry</t>
    </r>
    <r>
      <rPr>
        <i/>
        <sz val="11"/>
        <rFont val="Arial"/>
        <family val="2"/>
      </rPr>
      <t xml:space="preserve"> </t>
    </r>
  </si>
  <si>
    <t>Equation 16</t>
  </si>
  <si>
    <r>
      <t>E</t>
    </r>
    <r>
      <rPr>
        <i/>
        <vertAlign val="subscript"/>
        <sz val="11"/>
        <rFont val="Arial"/>
        <family val="2"/>
      </rPr>
      <t>build_solid</t>
    </r>
  </si>
  <si>
    <t>Equation 17</t>
  </si>
  <si>
    <r>
      <t>E</t>
    </r>
    <r>
      <rPr>
        <i/>
        <vertAlign val="subscript"/>
        <sz val="11"/>
        <rFont val="Arial"/>
        <family val="2"/>
      </rPr>
      <t>yard</t>
    </r>
  </si>
  <si>
    <t>Step 7.  Calculate total-N and TAN leaving buildings (FYM only)</t>
  </si>
  <si>
    <t>Mass of bedding, kg</t>
  </si>
  <si>
    <r>
      <t>m</t>
    </r>
    <r>
      <rPr>
        <vertAlign val="subscript"/>
        <sz val="11"/>
        <rFont val="Arial Narrow"/>
        <family val="2"/>
      </rPr>
      <t xml:space="preserve">bedding </t>
    </r>
    <r>
      <rPr>
        <sz val="11"/>
        <rFont val="Arial Narrow"/>
        <family val="2"/>
      </rPr>
      <t>kg N</t>
    </r>
  </si>
  <si>
    <r>
      <t>f</t>
    </r>
    <r>
      <rPr>
        <vertAlign val="subscript"/>
        <sz val="11"/>
        <rFont val="Arial"/>
        <family val="2"/>
      </rPr>
      <t xml:space="preserve">imm </t>
    </r>
    <r>
      <rPr>
        <sz val="11"/>
        <rFont val="Arial"/>
        <family val="2"/>
      </rPr>
      <t>kg/kg</t>
    </r>
  </si>
  <si>
    <t>Equation 18</t>
  </si>
  <si>
    <r>
      <t>m</t>
    </r>
    <r>
      <rPr>
        <vertAlign val="subscript"/>
        <sz val="11"/>
        <rFont val="Arial"/>
        <family val="2"/>
      </rPr>
      <t>ex-build_solid_TAN</t>
    </r>
  </si>
  <si>
    <t>Equation 19</t>
  </si>
  <si>
    <r>
      <t>m</t>
    </r>
    <r>
      <rPr>
        <vertAlign val="subscript"/>
        <sz val="11"/>
        <rFont val="Arial"/>
        <family val="2"/>
      </rPr>
      <t>ex-build_solid_N</t>
    </r>
  </si>
  <si>
    <t>Step 8.  Calculate Total-N and TAN entering storage (all manures)</t>
  </si>
  <si>
    <r>
      <t>x</t>
    </r>
    <r>
      <rPr>
        <vertAlign val="subscript"/>
        <sz val="11"/>
        <rFont val="Arial"/>
        <family val="2"/>
      </rPr>
      <t>store_slurry</t>
    </r>
    <r>
      <rPr>
        <sz val="11"/>
        <rFont val="Arial"/>
        <family val="2"/>
      </rPr>
      <t xml:space="preserve"> </t>
    </r>
  </si>
  <si>
    <t>turi būti 1</t>
  </si>
  <si>
    <r>
      <t>x</t>
    </r>
    <r>
      <rPr>
        <vertAlign val="subscript"/>
        <sz val="11"/>
        <rFont val="Arial"/>
        <family val="2"/>
      </rPr>
      <t>store_solid</t>
    </r>
  </si>
  <si>
    <t>Equation 20</t>
  </si>
  <si>
    <r>
      <t>m</t>
    </r>
    <r>
      <rPr>
        <vertAlign val="subscript"/>
        <sz val="11"/>
        <rFont val="Arial"/>
        <family val="2"/>
      </rPr>
      <t>storage_slurryTAN</t>
    </r>
  </si>
  <si>
    <t>Equation 21</t>
  </si>
  <si>
    <r>
      <t>m</t>
    </r>
    <r>
      <rPr>
        <vertAlign val="subscript"/>
        <sz val="11"/>
        <rFont val="Arial"/>
        <family val="2"/>
      </rPr>
      <t>storage_slurry,N</t>
    </r>
  </si>
  <si>
    <t>Equation 24</t>
  </si>
  <si>
    <r>
      <t>m</t>
    </r>
    <r>
      <rPr>
        <vertAlign val="subscript"/>
        <sz val="11"/>
        <rFont val="Arial"/>
        <family val="2"/>
      </rPr>
      <t>storage_solid_TAN</t>
    </r>
  </si>
  <si>
    <t>Equation 25</t>
  </si>
  <si>
    <r>
      <t>m</t>
    </r>
    <r>
      <rPr>
        <vertAlign val="subscript"/>
        <sz val="11"/>
        <rFont val="Arial"/>
        <family val="2"/>
      </rPr>
      <t>storage_solid_N</t>
    </r>
  </si>
  <si>
    <t>The amounts of manures applied directly to fields will be</t>
  </si>
  <si>
    <t>Equation 22</t>
  </si>
  <si>
    <r>
      <t>m</t>
    </r>
    <r>
      <rPr>
        <vertAlign val="subscript"/>
        <sz val="11"/>
        <rFont val="Arial"/>
        <family val="2"/>
      </rPr>
      <t>spread_direct_slurry_TAN</t>
    </r>
  </si>
  <si>
    <t>Equation 23</t>
  </si>
  <si>
    <r>
      <t>m</t>
    </r>
    <r>
      <rPr>
        <vertAlign val="subscript"/>
        <sz val="11"/>
        <rFont val="Arial"/>
        <family val="2"/>
      </rPr>
      <t>spread_direct_slurry_N</t>
    </r>
  </si>
  <si>
    <t>Equation 26</t>
  </si>
  <si>
    <r>
      <t>m</t>
    </r>
    <r>
      <rPr>
        <vertAlign val="subscript"/>
        <sz val="11"/>
        <rFont val="Arial"/>
        <family val="2"/>
      </rPr>
      <t>spread_direct_solid_TAN</t>
    </r>
  </si>
  <si>
    <t>Equation 27</t>
  </si>
  <si>
    <r>
      <t>m</t>
    </r>
    <r>
      <rPr>
        <vertAlign val="subscript"/>
        <sz val="11"/>
        <rFont val="Arial"/>
        <family val="2"/>
      </rPr>
      <t>spread_direct_solidN</t>
    </r>
  </si>
  <si>
    <t>Step 9.  Calculate TAN from which slurry storage emissions will occur</t>
  </si>
  <si>
    <r>
      <t>f</t>
    </r>
    <r>
      <rPr>
        <vertAlign val="subscript"/>
        <sz val="11"/>
        <rFont val="Arial"/>
        <family val="2"/>
      </rPr>
      <t>min</t>
    </r>
  </si>
  <si>
    <r>
      <t xml:space="preserve"> </t>
    </r>
    <r>
      <rPr>
        <sz val="11"/>
        <color indexed="30"/>
        <rFont val="Arial"/>
        <family val="2"/>
      </rPr>
      <t>skaičiuojamas tik srutų rezervuarams</t>
    </r>
  </si>
  <si>
    <t>Equation 28</t>
  </si>
  <si>
    <r>
      <t>mm</t>
    </r>
    <r>
      <rPr>
        <vertAlign val="subscript"/>
        <sz val="11"/>
        <rFont val="Arial"/>
        <family val="2"/>
      </rPr>
      <t>storage_slurry_TAN</t>
    </r>
  </si>
  <si>
    <t>Step 10.  Calculate storage emissions</t>
  </si>
  <si>
    <t>Equation 29</t>
  </si>
  <si>
    <r>
      <t>E</t>
    </r>
    <r>
      <rPr>
        <i/>
        <vertAlign val="subscript"/>
        <sz val="11"/>
        <rFont val="Arial"/>
        <family val="2"/>
      </rPr>
      <t>storage_slurry_NH3</t>
    </r>
  </si>
  <si>
    <r>
      <t>E</t>
    </r>
    <r>
      <rPr>
        <i/>
        <vertAlign val="subscript"/>
        <sz val="11"/>
        <rFont val="Arial"/>
        <family val="2"/>
      </rPr>
      <t>storage_slurry_N2O</t>
    </r>
  </si>
  <si>
    <r>
      <t>E</t>
    </r>
    <r>
      <rPr>
        <i/>
        <vertAlign val="subscript"/>
        <sz val="11"/>
        <rFont val="Arial"/>
        <family val="2"/>
      </rPr>
      <t>storage_slurry_NO</t>
    </r>
  </si>
  <si>
    <r>
      <t>E</t>
    </r>
    <r>
      <rPr>
        <i/>
        <vertAlign val="subscript"/>
        <sz val="11"/>
        <rFont val="Arial"/>
        <family val="2"/>
      </rPr>
      <t>storage_slurry_N2</t>
    </r>
  </si>
  <si>
    <t>Equation 30</t>
  </si>
  <si>
    <r>
      <t>E</t>
    </r>
    <r>
      <rPr>
        <i/>
        <vertAlign val="subscript"/>
        <sz val="11"/>
        <rFont val="Arial"/>
        <family val="2"/>
      </rPr>
      <t>storage_solid_NH3</t>
    </r>
  </si>
  <si>
    <r>
      <t>E</t>
    </r>
    <r>
      <rPr>
        <i/>
        <vertAlign val="subscript"/>
        <sz val="11"/>
        <rFont val="Arial"/>
        <family val="2"/>
      </rPr>
      <t>storage_solid_N2O</t>
    </r>
  </si>
  <si>
    <r>
      <t>E</t>
    </r>
    <r>
      <rPr>
        <i/>
        <vertAlign val="subscript"/>
        <sz val="11"/>
        <rFont val="Arial"/>
        <family val="2"/>
      </rPr>
      <t>storage_solid_NO</t>
    </r>
  </si>
  <si>
    <r>
      <t>E</t>
    </r>
    <r>
      <rPr>
        <i/>
        <vertAlign val="subscript"/>
        <sz val="11"/>
        <rFont val="Arial"/>
        <family val="2"/>
      </rPr>
      <t>storage_solid_N2</t>
    </r>
  </si>
  <si>
    <t>Step 11.  Calculate organic-N and TAN applied to field</t>
  </si>
  <si>
    <t>%TAN</t>
  </si>
  <si>
    <t>Equation 31</t>
  </si>
  <si>
    <r>
      <t>m</t>
    </r>
    <r>
      <rPr>
        <vertAlign val="subscript"/>
        <sz val="11"/>
        <rFont val="Arial"/>
        <family val="2"/>
      </rPr>
      <t>applic_slurry_TAN</t>
    </r>
  </si>
  <si>
    <t>Equation 32</t>
  </si>
  <si>
    <r>
      <t>m</t>
    </r>
    <r>
      <rPr>
        <vertAlign val="subscript"/>
        <sz val="11"/>
        <rFont val="Arial"/>
        <family val="2"/>
      </rPr>
      <t>applic_slurry_N</t>
    </r>
  </si>
  <si>
    <t>Not currently included</t>
  </si>
  <si>
    <r>
      <t>E</t>
    </r>
    <r>
      <rPr>
        <i/>
        <vertAlign val="subscript"/>
        <sz val="11"/>
        <rFont val="Arial"/>
        <family val="2"/>
      </rPr>
      <t>storage_solid_leach</t>
    </r>
  </si>
  <si>
    <t>Equation 33</t>
  </si>
  <si>
    <r>
      <t>m</t>
    </r>
    <r>
      <rPr>
        <vertAlign val="subscript"/>
        <sz val="11"/>
        <rFont val="Arial"/>
        <family val="2"/>
      </rPr>
      <t>applic_solid_TAN</t>
    </r>
  </si>
  <si>
    <t>Equation 34</t>
  </si>
  <si>
    <r>
      <t>m</t>
    </r>
    <r>
      <rPr>
        <vertAlign val="subscript"/>
        <sz val="11"/>
        <rFont val="Arial"/>
        <family val="2"/>
      </rPr>
      <t>applic_solid_N</t>
    </r>
  </si>
  <si>
    <t>slurry</t>
  </si>
  <si>
    <t>solid</t>
  </si>
  <si>
    <t>Step 12. Calculate emission following application to field</t>
  </si>
  <si>
    <t>Equation 35</t>
  </si>
  <si>
    <r>
      <t>E</t>
    </r>
    <r>
      <rPr>
        <vertAlign val="subscript"/>
        <sz val="12"/>
        <rFont val="Arial"/>
        <family val="2"/>
      </rPr>
      <t>applic_slurry</t>
    </r>
  </si>
  <si>
    <t>Equation 36</t>
  </si>
  <si>
    <r>
      <t>E</t>
    </r>
    <r>
      <rPr>
        <vertAlign val="subscript"/>
        <sz val="12"/>
        <rFont val="Arial"/>
        <family val="2"/>
      </rPr>
      <t>applic_solid</t>
    </r>
  </si>
  <si>
    <t>Step 13.  To calculate total-N and TAN returned to soil</t>
  </si>
  <si>
    <t>Equation 37</t>
  </si>
  <si>
    <r>
      <t>m</t>
    </r>
    <r>
      <rPr>
        <vertAlign val="subscript"/>
        <sz val="11"/>
        <rFont val="Arial"/>
        <family val="2"/>
      </rPr>
      <t>returned_slurry_TAN</t>
    </r>
  </si>
  <si>
    <t>Equation 38</t>
  </si>
  <si>
    <r>
      <t>m</t>
    </r>
    <r>
      <rPr>
        <vertAlign val="subscript"/>
        <sz val="11"/>
        <rFont val="Arial"/>
        <family val="2"/>
      </rPr>
      <t>returned_slurry_N</t>
    </r>
  </si>
  <si>
    <t>Equation 39</t>
  </si>
  <si>
    <r>
      <t>m</t>
    </r>
    <r>
      <rPr>
        <vertAlign val="subscript"/>
        <sz val="11"/>
        <rFont val="Arial"/>
        <family val="2"/>
      </rPr>
      <t>returned_solid'_TAN</t>
    </r>
  </si>
  <si>
    <t>Equation 40</t>
  </si>
  <si>
    <r>
      <t>m</t>
    </r>
    <r>
      <rPr>
        <vertAlign val="subscript"/>
        <sz val="11"/>
        <rFont val="Arial"/>
        <family val="2"/>
      </rPr>
      <t>returned_solid_N</t>
    </r>
  </si>
  <si>
    <t>Step 14.  To calculate emissions from grazing</t>
  </si>
  <si>
    <t>Equation 41</t>
  </si>
  <si>
    <r>
      <t>E</t>
    </r>
    <r>
      <rPr>
        <i/>
        <vertAlign val="subscript"/>
        <sz val="11"/>
        <rFont val="Arial"/>
        <family val="2"/>
      </rPr>
      <t>graz</t>
    </r>
  </si>
  <si>
    <t>Entering soil in grazed pasture</t>
  </si>
  <si>
    <t>TAN returned</t>
  </si>
  <si>
    <t>N returned</t>
  </si>
  <si>
    <t>N input</t>
  </si>
  <si>
    <t>N output</t>
  </si>
  <si>
    <t>System check</t>
  </si>
  <si>
    <t>Total emissions</t>
  </si>
  <si>
    <t>As kg of the relevant compound</t>
  </si>
  <si>
    <t>Source</t>
  </si>
  <si>
    <r>
      <t>NH</t>
    </r>
    <r>
      <rPr>
        <b/>
        <i/>
        <vertAlign val="subscript"/>
        <sz val="11"/>
        <color indexed="17"/>
        <rFont val="Arial"/>
        <family val="2"/>
      </rPr>
      <t>3</t>
    </r>
  </si>
  <si>
    <r>
      <t>N</t>
    </r>
    <r>
      <rPr>
        <b/>
        <i/>
        <vertAlign val="subscript"/>
        <sz val="11"/>
        <color indexed="17"/>
        <rFont val="Arial"/>
        <family val="2"/>
      </rPr>
      <t>2</t>
    </r>
    <r>
      <rPr>
        <b/>
        <i/>
        <sz val="11"/>
        <color indexed="17"/>
        <rFont val="Arial"/>
        <family val="2"/>
      </rPr>
      <t>O</t>
    </r>
  </si>
  <si>
    <t>NO</t>
  </si>
  <si>
    <r>
      <t>N</t>
    </r>
    <r>
      <rPr>
        <b/>
        <i/>
        <vertAlign val="subscript"/>
        <sz val="11"/>
        <color indexed="17"/>
        <rFont val="Arial"/>
        <family val="2"/>
      </rPr>
      <t>2</t>
    </r>
  </si>
  <si>
    <r>
      <t>Leached NO</t>
    </r>
    <r>
      <rPr>
        <b/>
        <i/>
        <vertAlign val="subscript"/>
        <sz val="11"/>
        <color indexed="17"/>
        <rFont val="Arial"/>
        <family val="2"/>
      </rPr>
      <t>3</t>
    </r>
  </si>
  <si>
    <t>Buildings, manure as slurry</t>
  </si>
  <si>
    <t>Buildings, manure as FYM</t>
  </si>
  <si>
    <t>Yards</t>
  </si>
  <si>
    <t>Slurry storage</t>
  </si>
  <si>
    <t>FYM storage</t>
  </si>
  <si>
    <t>Slurry application</t>
  </si>
  <si>
    <t>Solid application</t>
  </si>
  <si>
    <t>Grazing</t>
  </si>
  <si>
    <r>
      <t>Tarša, g/s (Eteršalo</t>
    </r>
    <r>
      <rPr>
        <sz val="10"/>
        <rFont val="Calibri"/>
        <family val="2"/>
      </rPr>
      <t>·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 D:24:3600)</t>
    </r>
  </si>
  <si>
    <t>Laikomų karvių skaičius, AAP</t>
  </si>
  <si>
    <t>Teršalo pavadinimas</t>
  </si>
  <si>
    <t>KD</t>
  </si>
  <si>
    <r>
      <t>KD</t>
    </r>
    <r>
      <rPr>
        <vertAlign val="subscript"/>
        <sz val="10"/>
        <rFont val="Arial"/>
        <family val="2"/>
      </rPr>
      <t>10</t>
    </r>
  </si>
  <si>
    <r>
      <t>KD</t>
    </r>
    <r>
      <rPr>
        <vertAlign val="subscript"/>
        <sz val="10"/>
        <rFont val="Arial"/>
        <family val="2"/>
      </rPr>
      <t>2,5</t>
    </r>
  </si>
  <si>
    <t>LOJ</t>
  </si>
  <si>
    <r>
      <t>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(Buildings)</t>
    </r>
  </si>
  <si>
    <r>
      <t>Emisijos koeficientas, EF</t>
    </r>
    <r>
      <rPr>
        <vertAlign val="subscript"/>
        <sz val="10"/>
        <rFont val="Arial"/>
        <family val="2"/>
      </rPr>
      <t>teršalo</t>
    </r>
  </si>
  <si>
    <t>Nuoroda į EMEP/Corinair</t>
  </si>
  <si>
    <t>3-5 lentelė, psl.19</t>
  </si>
  <si>
    <t>3-4 lentelė, psl.18 (šeriamos silosu)</t>
  </si>
  <si>
    <t>Dienų skaičius, kai gyvuliai laikomi tvarte, D</t>
  </si>
  <si>
    <t>Dalis, dienų per metus, kai gyvuliai laikomi tvarte, n</t>
  </si>
  <si>
    <r>
      <t>Metinė tarša E</t>
    </r>
    <r>
      <rPr>
        <vertAlign val="subscript"/>
        <sz val="10"/>
        <rFont val="Arial"/>
        <family val="2"/>
      </rPr>
      <t>teršalo</t>
    </r>
    <r>
      <rPr>
        <sz val="10"/>
        <rFont val="Arial"/>
        <family val="2"/>
      </rPr>
      <t>, kg (AAP</t>
    </r>
    <r>
      <rPr>
        <sz val="10"/>
        <rFont val="Calibri"/>
        <family val="2"/>
      </rPr>
      <t>·</t>
    </r>
    <r>
      <rPr>
        <sz val="10"/>
        <rFont val="Arial"/>
        <family val="2"/>
      </rPr>
      <t>EF</t>
    </r>
    <r>
      <rPr>
        <vertAlign val="subscript"/>
        <sz val="10"/>
        <rFont val="Arial"/>
        <family val="2"/>
      </rPr>
      <t>teršalo</t>
    </r>
    <r>
      <rPr>
        <sz val="10"/>
        <rFont val="Calibri"/>
        <family val="2"/>
      </rPr>
      <t>·n)</t>
    </r>
  </si>
  <si>
    <t>5. PRIEDAS.  Įvesties koeficientai</t>
  </si>
  <si>
    <t>dalis</t>
  </si>
  <si>
    <t>%</t>
  </si>
  <si>
    <r>
      <t>KD, KD</t>
    </r>
    <r>
      <rPr>
        <b/>
        <vertAlign val="subscript"/>
        <sz val="11"/>
        <rFont val="Arial"/>
        <family val="2"/>
      </rPr>
      <t>10</t>
    </r>
    <r>
      <rPr>
        <b/>
        <sz val="11"/>
        <rFont val="Arial"/>
        <family val="2"/>
      </rPr>
      <t>, KD</t>
    </r>
    <r>
      <rPr>
        <b/>
        <vertAlign val="subscript"/>
        <sz val="11"/>
        <rFont val="Arial"/>
        <family val="2"/>
      </rPr>
      <t>2,5</t>
    </r>
    <r>
      <rPr>
        <b/>
        <sz val="11"/>
        <rFont val="Arial"/>
        <family val="2"/>
      </rPr>
      <t>, LOJ, NH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apskaičiavimas. Momentinės taršos (g/s) skaičiavimas iš 602 t.š.</t>
    </r>
  </si>
  <si>
    <t>Diendaržis 616 t.š.</t>
  </si>
  <si>
    <r>
      <t>Metinė tarša E</t>
    </r>
    <r>
      <rPr>
        <vertAlign val="subscript"/>
        <sz val="10"/>
        <rFont val="Arial"/>
        <family val="2"/>
      </rPr>
      <t>teršalo</t>
    </r>
    <r>
      <rPr>
        <sz val="10"/>
        <rFont val="Arial"/>
        <family val="2"/>
      </rPr>
      <t xml:space="preserve">, kg </t>
    </r>
  </si>
  <si>
    <t>Teršalų išsiskyrimo laikas, dienomis</t>
  </si>
  <si>
    <t>Teršalų išsiskyrimo laikas, valandomis</t>
  </si>
  <si>
    <r>
      <t>Tarša, g/s (Eteršalo·10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 D:24:3600)</t>
    </r>
  </si>
  <si>
    <t>Panaudojus probiotikus amoniako sumažėja vidutiniškai nuo 6 ppm iki 0,5 ppm, t.y. 12 kartų</t>
  </si>
  <si>
    <t>Panaudojus probiotikus amoniako sumažėja vidutiniškai nuo 7,5 ppm iki 0,5 ppm, t.y. 15 kartų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</si>
</sst>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</numFmts>
  <fonts count="76">
    <font>
      <sz val="10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40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i/>
      <sz val="11"/>
      <color indexed="15"/>
      <name val="Arial"/>
      <family val="2"/>
    </font>
    <font>
      <sz val="11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1"/>
      <color indexed="17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 Narrow"/>
      <family val="2"/>
    </font>
    <font>
      <vertAlign val="subscript"/>
      <sz val="11"/>
      <name val="Arial Narrow"/>
      <family val="2"/>
    </font>
    <font>
      <sz val="11"/>
      <name val="Arial Narrow"/>
      <family val="2"/>
    </font>
    <font>
      <vertAlign val="subscript"/>
      <sz val="11"/>
      <name val="Arial"/>
      <family val="2"/>
    </font>
    <font>
      <sz val="11"/>
      <color indexed="17"/>
      <name val="Arial"/>
      <family val="2"/>
    </font>
    <font>
      <sz val="11"/>
      <color indexed="30"/>
      <name val="Arial"/>
      <family val="2"/>
    </font>
    <font>
      <i/>
      <sz val="11"/>
      <color indexed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color indexed="10"/>
      <name val="Arial"/>
      <family val="2"/>
    </font>
    <font>
      <b/>
      <i/>
      <vertAlign val="subscript"/>
      <sz val="11"/>
      <color indexed="17"/>
      <name val="Arial"/>
      <family val="2"/>
    </font>
    <font>
      <b/>
      <sz val="11"/>
      <color indexed="17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vertAlign val="superscript"/>
      <sz val="10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sz val="11"/>
      <color indexed="8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3"/>
      <name val="Times New Roman"/>
      <family val="2"/>
    </font>
    <font>
      <b/>
      <sz val="11"/>
      <color indexed="8"/>
      <name val="Times New Roman"/>
      <family val="2"/>
    </font>
    <font>
      <sz val="11"/>
      <color indexed="53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2" borderId="4" applyNumberFormat="0" applyAlignment="0" applyProtection="0"/>
    <xf numFmtId="0" fontId="69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0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0" fillId="31" borderId="6" applyNumberFormat="0" applyFont="0" applyAlignment="0" applyProtection="0"/>
    <xf numFmtId="0" fontId="71" fillId="0" borderId="0" applyNumberFormat="0" applyFill="0" applyBorder="0" applyAlignment="0" applyProtection="0"/>
    <xf numFmtId="9" fontId="0" fillId="0" borderId="0" applyFill="0" applyBorder="0" applyAlignment="0" applyProtection="0"/>
    <xf numFmtId="0" fontId="72" fillId="22" borderId="5" applyNumberForma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1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textRotation="90" wrapText="1"/>
    </xf>
    <xf numFmtId="0" fontId="0" fillId="0" borderId="0" xfId="0" applyFont="1" applyFill="1" applyAlignment="1">
      <alignment textRotation="90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14" fillId="0" borderId="0" xfId="0" applyFont="1" applyAlignment="1">
      <alignment wrapText="1"/>
    </xf>
    <xf numFmtId="0" fontId="11" fillId="35" borderId="0" xfId="0" applyFont="1" applyFill="1" applyAlignment="1">
      <alignment wrapText="1"/>
    </xf>
    <xf numFmtId="0" fontId="11" fillId="33" borderId="0" xfId="0" applyFont="1" applyFill="1" applyAlignment="1">
      <alignment/>
    </xf>
    <xf numFmtId="172" fontId="11" fillId="0" borderId="0" xfId="0" applyNumberFormat="1" applyFont="1" applyAlignment="1">
      <alignment/>
    </xf>
    <xf numFmtId="0" fontId="11" fillId="37" borderId="0" xfId="0" applyFont="1" applyFill="1" applyAlignment="1">
      <alignment wrapText="1"/>
    </xf>
    <xf numFmtId="172" fontId="11" fillId="0" borderId="0" xfId="0" applyNumberFormat="1" applyFont="1" applyFill="1" applyAlignment="1">
      <alignment/>
    </xf>
    <xf numFmtId="0" fontId="16" fillId="0" borderId="0" xfId="0" applyFont="1" applyAlignment="1">
      <alignment wrapText="1"/>
    </xf>
    <xf numFmtId="173" fontId="16" fillId="0" borderId="0" xfId="0" applyNumberFormat="1" applyFont="1" applyFill="1" applyAlignment="1">
      <alignment/>
    </xf>
    <xf numFmtId="0" fontId="12" fillId="0" borderId="0" xfId="0" applyFont="1" applyAlignment="1">
      <alignment vertical="top" wrapText="1"/>
    </xf>
    <xf numFmtId="0" fontId="11" fillId="37" borderId="0" xfId="0" applyFont="1" applyFill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35" borderId="0" xfId="0" applyFont="1" applyFill="1" applyAlignment="1">
      <alignment/>
    </xf>
    <xf numFmtId="0" fontId="11" fillId="38" borderId="0" xfId="0" applyFont="1" applyFill="1" applyAlignment="1">
      <alignment horizontal="left" vertical="center"/>
    </xf>
    <xf numFmtId="172" fontId="12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73" fontId="1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2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22" fillId="0" borderId="0" xfId="0" applyFont="1" applyAlignment="1">
      <alignment wrapText="1"/>
    </xf>
    <xf numFmtId="2" fontId="12" fillId="0" borderId="0" xfId="0" applyNumberFormat="1" applyFont="1" applyFill="1" applyAlignment="1">
      <alignment vertical="top"/>
    </xf>
    <xf numFmtId="173" fontId="12" fillId="0" borderId="0" xfId="0" applyNumberFormat="1" applyFont="1" applyFill="1" applyAlignment="1">
      <alignment vertical="top"/>
    </xf>
    <xf numFmtId="1" fontId="12" fillId="0" borderId="0" xfId="0" applyNumberFormat="1" applyFont="1" applyFill="1" applyAlignment="1">
      <alignment vertical="top"/>
    </xf>
    <xf numFmtId="0" fontId="23" fillId="0" borderId="0" xfId="0" applyFont="1" applyAlignment="1">
      <alignment vertical="top" wrapText="1"/>
    </xf>
    <xf numFmtId="1" fontId="24" fillId="0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0" fontId="25" fillId="0" borderId="0" xfId="0" applyFont="1" applyAlignment="1">
      <alignment/>
    </xf>
    <xf numFmtId="2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17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173" fontId="22" fillId="0" borderId="0" xfId="0" applyNumberFormat="1" applyFont="1" applyAlignment="1">
      <alignment/>
    </xf>
    <xf numFmtId="0" fontId="11" fillId="0" borderId="0" xfId="0" applyFont="1" applyFill="1" applyAlignment="1">
      <alignment wrapText="1"/>
    </xf>
    <xf numFmtId="2" fontId="11" fillId="35" borderId="0" xfId="0" applyNumberFormat="1" applyFont="1" applyFill="1" applyAlignment="1">
      <alignment/>
    </xf>
    <xf numFmtId="173" fontId="11" fillId="33" borderId="0" xfId="0" applyNumberFormat="1" applyFont="1" applyFill="1" applyAlignment="1">
      <alignment/>
    </xf>
    <xf numFmtId="0" fontId="29" fillId="39" borderId="0" xfId="0" applyFont="1" applyFill="1" applyAlignment="1">
      <alignment/>
    </xf>
    <xf numFmtId="1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" fontId="29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173" fontId="31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32" fillId="0" borderId="0" xfId="0" applyFont="1" applyAlignment="1">
      <alignment/>
    </xf>
    <xf numFmtId="1" fontId="11" fillId="33" borderId="0" xfId="0" applyNumberFormat="1" applyFont="1" applyFill="1" applyAlignment="1">
      <alignment/>
    </xf>
    <xf numFmtId="172" fontId="11" fillId="33" borderId="0" xfId="0" applyNumberFormat="1" applyFont="1" applyFill="1" applyAlignment="1">
      <alignment/>
    </xf>
    <xf numFmtId="173" fontId="16" fillId="0" borderId="0" xfId="0" applyNumberFormat="1" applyFont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 vertical="top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172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172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3" fontId="12" fillId="0" borderId="12" xfId="0" applyNumberFormat="1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72" fontId="12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75" fontId="0" fillId="0" borderId="0" xfId="0" applyNumberFormat="1" applyFill="1" applyAlignment="1">
      <alignment/>
    </xf>
    <xf numFmtId="0" fontId="36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172" fontId="0" fillId="0" borderId="0" xfId="0" applyNumberFormat="1" applyFill="1" applyAlignment="1">
      <alignment/>
    </xf>
    <xf numFmtId="175" fontId="36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1" fillId="0" borderId="0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I6" sqref="I6"/>
    </sheetView>
  </sheetViews>
  <sheetFormatPr defaultColWidth="9.140625" defaultRowHeight="12.75"/>
  <sheetData>
    <row r="2" spans="2:9" ht="12.75">
      <c r="B2" s="1"/>
      <c r="C2" t="s">
        <v>0</v>
      </c>
      <c r="I2" s="2" t="s">
        <v>1</v>
      </c>
    </row>
    <row r="3" spans="2:9" ht="12.75">
      <c r="B3" s="3"/>
      <c r="C3" t="s">
        <v>2</v>
      </c>
      <c r="I3" s="2" t="s">
        <v>3</v>
      </c>
    </row>
    <row r="4" spans="2:9" ht="12.75">
      <c r="B4" s="4"/>
      <c r="C4" t="s">
        <v>4</v>
      </c>
      <c r="I4" s="2" t="s">
        <v>5</v>
      </c>
    </row>
    <row r="5" spans="3:9" ht="12.75">
      <c r="C5" t="s">
        <v>6</v>
      </c>
      <c r="I5" s="2" t="s">
        <v>7</v>
      </c>
    </row>
    <row r="6" spans="2:9" ht="12.75">
      <c r="B6" s="5"/>
      <c r="C6" t="s">
        <v>8</v>
      </c>
      <c r="I6" s="2" t="s">
        <v>9</v>
      </c>
    </row>
    <row r="9" ht="12.75">
      <c r="B9" t="s">
        <v>10</v>
      </c>
    </row>
    <row r="10" ht="12.75">
      <c r="B10" t="s">
        <v>11</v>
      </c>
    </row>
    <row r="11" ht="12.75">
      <c r="B11" t="s">
        <v>12</v>
      </c>
    </row>
    <row r="12" ht="12.75">
      <c r="B12" t="s">
        <v>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view="pageLayout" workbookViewId="0" topLeftCell="A1">
      <selection activeCell="H3" sqref="H3"/>
    </sheetView>
  </sheetViews>
  <sheetFormatPr defaultColWidth="9.140625" defaultRowHeight="12.75"/>
  <cols>
    <col min="1" max="1" width="15.140625" style="0" customWidth="1"/>
    <col min="2" max="2" width="17.57421875" style="0" customWidth="1"/>
    <col min="3" max="3" width="6.00390625" style="0" customWidth="1"/>
    <col min="4" max="4" width="5.28125" style="0" customWidth="1"/>
    <col min="5" max="5" width="6.00390625" style="0" customWidth="1"/>
    <col min="6" max="6" width="8.28125" style="0" customWidth="1"/>
    <col min="7" max="7" width="5.7109375" style="0" customWidth="1"/>
    <col min="8" max="8" width="6.7109375" style="0" customWidth="1"/>
    <col min="9" max="9" width="1.7109375" style="0" customWidth="1"/>
    <col min="10" max="16" width="4.7109375" style="0" customWidth="1"/>
    <col min="17" max="17" width="5.28125" style="0" customWidth="1"/>
    <col min="18" max="20" width="4.7109375" style="0" customWidth="1"/>
    <col min="21" max="21" width="5.00390625" style="0" customWidth="1"/>
    <col min="22" max="22" width="5.28125" style="0" customWidth="1"/>
    <col min="23" max="24" width="4.7109375" style="0" customWidth="1"/>
  </cols>
  <sheetData>
    <row r="1" ht="12.75">
      <c r="A1" s="6" t="s">
        <v>226</v>
      </c>
    </row>
    <row r="2" spans="2:31" s="7" customFormat="1" ht="65.25" customHeight="1"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9"/>
      <c r="J2" s="8" t="s">
        <v>21</v>
      </c>
      <c r="K2" s="8" t="s">
        <v>22</v>
      </c>
      <c r="L2" s="8" t="s">
        <v>23</v>
      </c>
      <c r="M2" s="8" t="s">
        <v>24</v>
      </c>
      <c r="N2" s="8" t="s">
        <v>25</v>
      </c>
      <c r="O2" s="8" t="s">
        <v>26</v>
      </c>
      <c r="P2" s="8" t="s">
        <v>27</v>
      </c>
      <c r="Q2" s="8" t="s">
        <v>28</v>
      </c>
      <c r="R2" s="8" t="s">
        <v>29</v>
      </c>
      <c r="S2" s="8" t="s">
        <v>30</v>
      </c>
      <c r="T2" s="8" t="s">
        <v>31</v>
      </c>
      <c r="U2" s="8" t="s">
        <v>32</v>
      </c>
      <c r="V2" s="8" t="s">
        <v>33</v>
      </c>
      <c r="W2" s="8" t="s">
        <v>34</v>
      </c>
      <c r="X2" s="8" t="s">
        <v>35</v>
      </c>
      <c r="Y2" s="9"/>
      <c r="Z2" s="10"/>
      <c r="AA2" s="10"/>
      <c r="AB2" s="10"/>
      <c r="AC2" s="10"/>
      <c r="AD2" s="10"/>
      <c r="AE2" s="10"/>
    </row>
    <row r="3" spans="1:25" s="7" customFormat="1" ht="11.25">
      <c r="A3" s="11" t="s">
        <v>36</v>
      </c>
      <c r="B3" s="12" t="s">
        <v>37</v>
      </c>
      <c r="C3" s="13">
        <v>105</v>
      </c>
      <c r="D3" s="13">
        <v>0.6</v>
      </c>
      <c r="E3" s="13">
        <v>1500</v>
      </c>
      <c r="F3" s="14">
        <f aca="true" t="shared" si="0" ref="F3:F16">E3*0.004</f>
        <v>6</v>
      </c>
      <c r="G3" s="15">
        <v>365</v>
      </c>
      <c r="H3" s="16">
        <v>25</v>
      </c>
      <c r="I3" s="17"/>
      <c r="J3" s="13">
        <v>0.2</v>
      </c>
      <c r="K3" s="13">
        <v>0.19</v>
      </c>
      <c r="L3" s="13">
        <v>0.3</v>
      </c>
      <c r="M3" s="13">
        <v>0.2</v>
      </c>
      <c r="N3" s="13">
        <v>0.27</v>
      </c>
      <c r="O3" s="13">
        <v>0.01</v>
      </c>
      <c r="P3" s="13">
        <v>0.02</v>
      </c>
      <c r="Q3" s="13">
        <v>0.0001</v>
      </c>
      <c r="R3" s="13">
        <v>0.01</v>
      </c>
      <c r="S3" s="13">
        <v>0.003</v>
      </c>
      <c r="T3" s="13">
        <v>0.3</v>
      </c>
      <c r="U3" s="17">
        <v>0</v>
      </c>
      <c r="V3" s="18">
        <v>0.55</v>
      </c>
      <c r="W3" s="18">
        <v>0.79</v>
      </c>
      <c r="X3" s="18">
        <v>0.1</v>
      </c>
      <c r="Y3" s="19"/>
    </row>
    <row r="4" spans="1:25" s="7" customFormat="1" ht="11.25">
      <c r="A4" s="11" t="s">
        <v>38</v>
      </c>
      <c r="B4" s="20" t="s">
        <v>39</v>
      </c>
      <c r="C4" s="19">
        <v>41</v>
      </c>
      <c r="D4" s="19">
        <v>0.6</v>
      </c>
      <c r="E4" s="19">
        <v>500</v>
      </c>
      <c r="F4" s="21">
        <f t="shared" si="0"/>
        <v>2</v>
      </c>
      <c r="G4" s="20">
        <v>180</v>
      </c>
      <c r="H4" s="22">
        <v>25</v>
      </c>
      <c r="I4" s="19"/>
      <c r="J4" s="19">
        <v>0.2</v>
      </c>
      <c r="K4" s="19">
        <v>0.19</v>
      </c>
      <c r="L4" s="19">
        <v>0.53</v>
      </c>
      <c r="M4" s="19">
        <v>0.2</v>
      </c>
      <c r="N4" s="19">
        <v>0.27</v>
      </c>
      <c r="O4" s="19">
        <v>0.01</v>
      </c>
      <c r="P4" s="19">
        <v>0.02</v>
      </c>
      <c r="Q4" s="19">
        <v>0.0001</v>
      </c>
      <c r="R4" s="19">
        <v>0.01</v>
      </c>
      <c r="S4" s="19">
        <v>0.003</v>
      </c>
      <c r="T4" s="19">
        <v>0.3</v>
      </c>
      <c r="U4" s="19">
        <v>0</v>
      </c>
      <c r="V4" s="19">
        <v>0.55</v>
      </c>
      <c r="W4" s="19">
        <v>0.79</v>
      </c>
      <c r="X4" s="19">
        <v>0.6</v>
      </c>
      <c r="Y4" s="19"/>
    </row>
    <row r="5" spans="1:25" s="7" customFormat="1" ht="11.25">
      <c r="A5" s="11" t="s">
        <v>40</v>
      </c>
      <c r="B5" s="20" t="s">
        <v>41</v>
      </c>
      <c r="C5" s="19">
        <v>12.1</v>
      </c>
      <c r="D5" s="19">
        <v>0.7</v>
      </c>
      <c r="E5" s="19">
        <v>200</v>
      </c>
      <c r="F5" s="21">
        <f t="shared" si="0"/>
        <v>0.8</v>
      </c>
      <c r="G5" s="20">
        <v>365</v>
      </c>
      <c r="H5" s="22">
        <v>0</v>
      </c>
      <c r="I5" s="19"/>
      <c r="J5" s="19">
        <v>0.28</v>
      </c>
      <c r="K5" s="19">
        <v>0.27</v>
      </c>
      <c r="L5" s="19">
        <v>0</v>
      </c>
      <c r="M5" s="19">
        <v>0.14</v>
      </c>
      <c r="N5" s="19">
        <v>0.45</v>
      </c>
      <c r="O5" s="19">
        <v>0</v>
      </c>
      <c r="P5" s="19">
        <v>0.05</v>
      </c>
      <c r="Q5" s="19">
        <v>0.0001</v>
      </c>
      <c r="R5" s="19">
        <v>0.008</v>
      </c>
      <c r="S5" s="19">
        <v>0.003</v>
      </c>
      <c r="T5" s="19">
        <v>0.3</v>
      </c>
      <c r="U5" s="19">
        <v>0</v>
      </c>
      <c r="V5" s="19">
        <v>0.4</v>
      </c>
      <c r="W5" s="19">
        <v>0.81</v>
      </c>
      <c r="X5" s="19">
        <v>0</v>
      </c>
      <c r="Y5" s="19"/>
    </row>
    <row r="6" spans="1:25" s="7" customFormat="1" ht="11.25">
      <c r="A6" s="11" t="s">
        <v>42</v>
      </c>
      <c r="B6" s="20" t="s">
        <v>43</v>
      </c>
      <c r="C6" s="19">
        <v>34.5</v>
      </c>
      <c r="D6" s="19">
        <v>0.7</v>
      </c>
      <c r="E6" s="19">
        <v>600</v>
      </c>
      <c r="F6" s="21">
        <f t="shared" si="0"/>
        <v>2.4</v>
      </c>
      <c r="G6" s="20">
        <v>365</v>
      </c>
      <c r="H6" s="22">
        <v>0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7" customFormat="1" ht="11.25">
      <c r="A7" s="11" t="s">
        <v>44</v>
      </c>
      <c r="B7" s="20" t="s">
        <v>45</v>
      </c>
      <c r="C7" s="19">
        <v>15.5</v>
      </c>
      <c r="D7" s="19">
        <v>0.5</v>
      </c>
      <c r="E7" s="19">
        <v>20</v>
      </c>
      <c r="F7" s="21">
        <f t="shared" si="0"/>
        <v>0.08</v>
      </c>
      <c r="G7" s="20">
        <v>30</v>
      </c>
      <c r="H7" s="22">
        <v>2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7" customFormat="1" ht="11.25">
      <c r="A8" s="11" t="s">
        <v>46</v>
      </c>
      <c r="B8" s="20" t="s">
        <v>47</v>
      </c>
      <c r="C8" s="19">
        <v>47.5</v>
      </c>
      <c r="D8" s="19">
        <v>0.6</v>
      </c>
      <c r="E8" s="19">
        <v>500</v>
      </c>
      <c r="F8" s="21">
        <f t="shared" si="0"/>
        <v>2</v>
      </c>
      <c r="G8" s="20">
        <v>180</v>
      </c>
      <c r="H8" s="22">
        <v>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7" customFormat="1" ht="11.25">
      <c r="A9" s="11" t="s">
        <v>48</v>
      </c>
      <c r="B9" s="23" t="s">
        <v>49</v>
      </c>
      <c r="C9" s="24">
        <v>0.77</v>
      </c>
      <c r="D9" s="24">
        <v>0.7</v>
      </c>
      <c r="E9" s="24">
        <v>0</v>
      </c>
      <c r="F9" s="25">
        <f t="shared" si="0"/>
        <v>0</v>
      </c>
      <c r="G9" s="23">
        <v>365</v>
      </c>
      <c r="H9" s="26">
        <v>0</v>
      </c>
      <c r="I9" s="24"/>
      <c r="J9" s="24">
        <v>0.41</v>
      </c>
      <c r="K9" s="24">
        <v>0.41</v>
      </c>
      <c r="L9" s="24">
        <v>0</v>
      </c>
      <c r="M9" s="24">
        <v>0.14</v>
      </c>
      <c r="N9" s="24">
        <v>0.14</v>
      </c>
      <c r="O9" s="27">
        <v>0</v>
      </c>
      <c r="P9" s="24">
        <v>0.04</v>
      </c>
      <c r="Q9" s="24">
        <v>0.0001</v>
      </c>
      <c r="R9" s="24">
        <v>0.01</v>
      </c>
      <c r="S9" s="24">
        <v>0.003</v>
      </c>
      <c r="T9" s="24">
        <v>0.3</v>
      </c>
      <c r="U9" s="24">
        <v>0</v>
      </c>
      <c r="V9" s="24">
        <v>0.69</v>
      </c>
      <c r="W9" s="24">
        <v>0.69</v>
      </c>
      <c r="X9" s="24">
        <v>0</v>
      </c>
      <c r="Y9" s="19"/>
    </row>
    <row r="10" spans="1:25" s="7" customFormat="1" ht="11.25">
      <c r="A10" s="11" t="s">
        <v>50</v>
      </c>
      <c r="B10" s="20" t="s">
        <v>51</v>
      </c>
      <c r="C10" s="19">
        <v>0.36</v>
      </c>
      <c r="D10" s="19">
        <v>0.7</v>
      </c>
      <c r="E10" s="19">
        <v>0</v>
      </c>
      <c r="F10" s="21">
        <f t="shared" si="0"/>
        <v>0</v>
      </c>
      <c r="G10" s="20">
        <v>365</v>
      </c>
      <c r="H10" s="22"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7" customFormat="1" ht="11.25">
      <c r="A11" s="11" t="s">
        <v>52</v>
      </c>
      <c r="B11" s="20" t="s">
        <v>53</v>
      </c>
      <c r="C11" s="19">
        <v>1.64</v>
      </c>
      <c r="D11" s="19">
        <v>0.7</v>
      </c>
      <c r="E11" s="19">
        <v>0</v>
      </c>
      <c r="F11" s="21">
        <f t="shared" si="0"/>
        <v>0</v>
      </c>
      <c r="G11" s="20">
        <v>365</v>
      </c>
      <c r="H11" s="22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7" customFormat="1" ht="11.25">
      <c r="A12" s="11" t="s">
        <v>54</v>
      </c>
      <c r="B12" s="20" t="s">
        <v>55</v>
      </c>
      <c r="C12" s="19">
        <v>1.26</v>
      </c>
      <c r="D12" s="19">
        <v>0.7</v>
      </c>
      <c r="E12" s="19">
        <v>0</v>
      </c>
      <c r="F12" s="21">
        <f t="shared" si="0"/>
        <v>0</v>
      </c>
      <c r="G12" s="20">
        <v>365</v>
      </c>
      <c r="H12" s="22"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7" customFormat="1" ht="11.25">
      <c r="A13" s="11" t="s">
        <v>56</v>
      </c>
      <c r="B13" s="20" t="s">
        <v>57</v>
      </c>
      <c r="C13" s="19">
        <v>0.55</v>
      </c>
      <c r="D13" s="19">
        <v>0.7</v>
      </c>
      <c r="E13" s="19">
        <v>0</v>
      </c>
      <c r="F13" s="21">
        <f t="shared" si="0"/>
        <v>0</v>
      </c>
      <c r="G13" s="20">
        <v>365</v>
      </c>
      <c r="H13" s="22"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7" customFormat="1" ht="11.25">
      <c r="A14" s="11" t="s">
        <v>58</v>
      </c>
      <c r="B14" s="20" t="s">
        <v>59</v>
      </c>
      <c r="C14" s="19">
        <v>0.08</v>
      </c>
      <c r="D14" s="19">
        <v>0.6</v>
      </c>
      <c r="E14" s="19">
        <v>0</v>
      </c>
      <c r="F14" s="21">
        <f t="shared" si="0"/>
        <v>0</v>
      </c>
      <c r="G14" s="20">
        <v>365</v>
      </c>
      <c r="H14" s="22"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7" customFormat="1" ht="11.25">
      <c r="A15" s="11" t="s">
        <v>60</v>
      </c>
      <c r="B15" s="20" t="s">
        <v>61</v>
      </c>
      <c r="C15" s="19"/>
      <c r="D15" s="19"/>
      <c r="E15" s="19">
        <v>0</v>
      </c>
      <c r="F15" s="21">
        <f t="shared" si="0"/>
        <v>0</v>
      </c>
      <c r="G15" s="20">
        <v>365</v>
      </c>
      <c r="H15" s="22"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7" customFormat="1" ht="11.25">
      <c r="A16" s="11" t="s">
        <v>62</v>
      </c>
      <c r="B16" s="20" t="s">
        <v>63</v>
      </c>
      <c r="C16" s="19">
        <v>82</v>
      </c>
      <c r="D16" s="19">
        <v>0.5</v>
      </c>
      <c r="E16" s="19">
        <v>1500</v>
      </c>
      <c r="F16" s="21">
        <f t="shared" si="0"/>
        <v>6</v>
      </c>
      <c r="G16" s="20">
        <v>225</v>
      </c>
      <c r="H16" s="22"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2:25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2:25" ht="12.7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2:25" ht="12.75">
      <c r="B19" s="20" t="s">
        <v>64</v>
      </c>
      <c r="C19" s="28" t="s">
        <v>65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2:25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2:25" ht="119.25" customHeight="1">
      <c r="B21" s="28"/>
      <c r="C21" s="28"/>
      <c r="D21" s="28"/>
      <c r="E21" s="29" t="s">
        <v>66</v>
      </c>
      <c r="F21" s="30" t="s">
        <v>67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2:25" ht="12.7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2:25" ht="12.7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2:25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2:25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2:25" ht="12.7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2:25" ht="12.7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2:25" ht="12.7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2:25" ht="12.7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</sheetData>
  <sheetProtection selectLockedCells="1" selectUnlockedCells="1"/>
  <printOptions/>
  <pageMargins left="0.15763888888888888" right="0.15763888888888888" top="0.5902777777777778" bottom="0.6298611111111111" header="0.5118055555555555" footer="0.15763888888888888"/>
  <pageSetup firstPageNumber="32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3"/>
  <sheetViews>
    <sheetView view="pageLayout" workbookViewId="0" topLeftCell="A112">
      <selection activeCell="C4" sqref="C4"/>
    </sheetView>
  </sheetViews>
  <sheetFormatPr defaultColWidth="9.140625" defaultRowHeight="12.75"/>
  <cols>
    <col min="1" max="1" width="21.8515625" style="31" customWidth="1"/>
    <col min="2" max="2" width="20.7109375" style="32" customWidth="1"/>
    <col min="3" max="3" width="13.8515625" style="32" customWidth="1"/>
    <col min="4" max="4" width="10.140625" style="32" customWidth="1"/>
    <col min="5" max="5" width="12.00390625" style="32" customWidth="1"/>
    <col min="6" max="6" width="9.57421875" style="32" customWidth="1"/>
    <col min="7" max="7" width="7.28125" style="32" customWidth="1"/>
    <col min="8" max="8" width="16.7109375" style="33" customWidth="1"/>
    <col min="9" max="12" width="9.140625" style="32" customWidth="1"/>
    <col min="13" max="13" width="10.00390625" style="32" customWidth="1"/>
    <col min="14" max="17" width="9.140625" style="32" customWidth="1"/>
    <col min="18" max="19" width="9.421875" style="32" customWidth="1"/>
    <col min="20" max="16384" width="9.140625" style="32" customWidth="1"/>
  </cols>
  <sheetData>
    <row r="1" spans="1:7" s="34" customFormat="1" ht="30.75" customHeight="1">
      <c r="A1" s="129" t="s">
        <v>68</v>
      </c>
      <c r="B1" s="129"/>
      <c r="C1" s="129"/>
      <c r="D1" s="129"/>
      <c r="E1" s="129"/>
      <c r="F1" s="129"/>
      <c r="G1" s="129"/>
    </row>
    <row r="2" ht="15">
      <c r="A2" s="35"/>
    </row>
    <row r="3" spans="1:19" ht="29.25">
      <c r="A3" s="35" t="s">
        <v>69</v>
      </c>
      <c r="B3" s="31" t="s">
        <v>70</v>
      </c>
      <c r="C3" s="36">
        <v>240</v>
      </c>
      <c r="R3" s="31"/>
      <c r="S3" s="31"/>
    </row>
    <row r="4" spans="2:19" ht="15">
      <c r="B4" s="32" t="s">
        <v>71</v>
      </c>
      <c r="C4" s="37">
        <f>Standards!C3</f>
        <v>105</v>
      </c>
      <c r="R4" s="38"/>
      <c r="S4" s="38"/>
    </row>
    <row r="5" spans="2:3" ht="15">
      <c r="B5" s="32" t="s">
        <v>72</v>
      </c>
      <c r="C5" s="37">
        <f>Standards!D3*100</f>
        <v>60</v>
      </c>
    </row>
    <row r="6" spans="2:3" ht="15">
      <c r="B6" s="32" t="s">
        <v>73</v>
      </c>
      <c r="C6" s="37">
        <f>Standards!G3</f>
        <v>365</v>
      </c>
    </row>
    <row r="7" spans="2:3" ht="15">
      <c r="B7" s="31" t="s">
        <v>74</v>
      </c>
      <c r="C7" s="37">
        <f>Standards!H3</f>
        <v>25</v>
      </c>
    </row>
    <row r="9" ht="15">
      <c r="A9" s="35" t="s">
        <v>75</v>
      </c>
    </row>
    <row r="10" spans="1:3" ht="15">
      <c r="A10" s="39" t="s">
        <v>76</v>
      </c>
      <c r="B10" s="32" t="s">
        <v>77</v>
      </c>
      <c r="C10" s="40">
        <f>Number_of_livestock*N_Excretion*(365-Housed_period__days)/365*(100-excreta_on_yards)/100</f>
        <v>0</v>
      </c>
    </row>
    <row r="11" spans="1:3" ht="15">
      <c r="A11" s="39" t="s">
        <v>78</v>
      </c>
      <c r="B11" s="32" t="s">
        <v>79</v>
      </c>
      <c r="C11" s="40">
        <f>Number_of_livestock*N_Excretion*excreta_on_yards/100</f>
        <v>6300</v>
      </c>
    </row>
    <row r="12" spans="1:3" ht="15">
      <c r="A12" s="39" t="s">
        <v>80</v>
      </c>
      <c r="B12" s="32" t="s">
        <v>81</v>
      </c>
      <c r="C12" s="40">
        <f>C3*C4*(C6/365)*(100-C7)/100</f>
        <v>18900</v>
      </c>
    </row>
    <row r="13" spans="1:3" ht="15">
      <c r="A13" s="31" t="s">
        <v>82</v>
      </c>
      <c r="C13" s="40">
        <f>m_yard+m_graz+m_hous</f>
        <v>25200</v>
      </c>
    </row>
    <row r="14" spans="1:3" ht="15">
      <c r="A14" s="41" t="s">
        <v>83</v>
      </c>
      <c r="B14" s="41"/>
      <c r="C14" s="42">
        <f>(C3*C4)-C13</f>
        <v>0</v>
      </c>
    </row>
    <row r="15" ht="15"/>
    <row r="16" spans="1:8" s="34" customFormat="1" ht="33" customHeight="1">
      <c r="A16" s="129" t="s">
        <v>84</v>
      </c>
      <c r="B16" s="129"/>
      <c r="C16" s="129"/>
      <c r="D16" s="129"/>
      <c r="E16" s="129"/>
      <c r="F16" s="129"/>
      <c r="G16" s="129"/>
      <c r="H16" s="43"/>
    </row>
    <row r="17" ht="15">
      <c r="A17" s="35" t="s">
        <v>85</v>
      </c>
    </row>
    <row r="18" spans="1:5" ht="15">
      <c r="A18" s="44" t="s">
        <v>86</v>
      </c>
      <c r="B18" s="32" t="s">
        <v>87</v>
      </c>
      <c r="C18" s="40">
        <f>C10*$C$5/100</f>
        <v>0</v>
      </c>
      <c r="D18" s="32" t="s">
        <v>77</v>
      </c>
      <c r="E18" s="40">
        <f>m_graz</f>
        <v>0</v>
      </c>
    </row>
    <row r="19" spans="1:5" ht="15">
      <c r="A19" s="44" t="s">
        <v>88</v>
      </c>
      <c r="B19" s="32" t="s">
        <v>89</v>
      </c>
      <c r="C19" s="40">
        <f>C11*$C$5/100</f>
        <v>3780</v>
      </c>
      <c r="D19" s="32" t="s">
        <v>79</v>
      </c>
      <c r="E19" s="40">
        <f>m_yard</f>
        <v>6300</v>
      </c>
    </row>
    <row r="20" spans="1:5" ht="15">
      <c r="A20" s="44" t="s">
        <v>90</v>
      </c>
      <c r="B20" s="32" t="s">
        <v>91</v>
      </c>
      <c r="C20" s="40">
        <f>C12*$C$5/100</f>
        <v>11340</v>
      </c>
      <c r="D20" s="32" t="s">
        <v>81</v>
      </c>
      <c r="E20" s="40">
        <f>m_hous</f>
        <v>18900</v>
      </c>
    </row>
    <row r="21" spans="1:5" ht="15">
      <c r="A21" s="31" t="s">
        <v>82</v>
      </c>
      <c r="C21" s="40">
        <f>C19+C18+C20</f>
        <v>15120</v>
      </c>
      <c r="D21" s="45"/>
      <c r="E21" s="40">
        <f>E19+E18+E20</f>
        <v>25200</v>
      </c>
    </row>
    <row r="22" spans="1:5" ht="15">
      <c r="A22" s="41" t="s">
        <v>83</v>
      </c>
      <c r="C22" s="42">
        <f>(C13*C5/100)-C21</f>
        <v>0</v>
      </c>
      <c r="D22" s="46"/>
      <c r="E22" s="42">
        <f>C13-E21</f>
        <v>0</v>
      </c>
    </row>
    <row r="23" ht="15"/>
    <row r="24" spans="1:14" s="34" customFormat="1" ht="12.75" customHeight="1">
      <c r="A24" s="129" t="s">
        <v>92</v>
      </c>
      <c r="B24" s="129"/>
      <c r="C24" s="129"/>
      <c r="D24" s="129"/>
      <c r="E24" s="129"/>
      <c r="F24" s="129"/>
      <c r="G24" s="129"/>
      <c r="H24" s="47"/>
      <c r="I24" s="48"/>
      <c r="J24" s="48"/>
      <c r="K24" s="48"/>
      <c r="L24" s="48"/>
      <c r="M24" s="48"/>
      <c r="N24" s="48"/>
    </row>
    <row r="25" spans="1:14" ht="15">
      <c r="A25" s="35" t="s">
        <v>85</v>
      </c>
      <c r="F25" s="32" t="s">
        <v>227</v>
      </c>
      <c r="G25" s="32" t="s">
        <v>228</v>
      </c>
      <c r="H25" s="49"/>
      <c r="I25" s="49"/>
      <c r="J25" s="49"/>
      <c r="K25" s="50"/>
      <c r="L25" s="49"/>
      <c r="M25" s="50"/>
      <c r="N25" s="51"/>
    </row>
    <row r="26" spans="2:14" ht="57.75">
      <c r="B26" s="31" t="s">
        <v>93</v>
      </c>
      <c r="C26" s="52">
        <v>21.81</v>
      </c>
      <c r="D26" s="53" t="s">
        <v>94</v>
      </c>
      <c r="F26" s="32">
        <v>0.41</v>
      </c>
      <c r="G26" s="32">
        <f>F26*100/1.88</f>
        <v>21.808510638297875</v>
      </c>
      <c r="H26" s="47"/>
      <c r="I26" s="54"/>
      <c r="J26" s="51"/>
      <c r="K26" s="51"/>
      <c r="L26" s="51"/>
      <c r="M26" s="46"/>
      <c r="N26" s="55"/>
    </row>
    <row r="27" spans="2:14" ht="57.75">
      <c r="B27" s="31" t="s">
        <v>95</v>
      </c>
      <c r="C27" s="46">
        <v>78.19</v>
      </c>
      <c r="D27" s="53" t="s">
        <v>96</v>
      </c>
      <c r="F27" s="32">
        <v>1.47</v>
      </c>
      <c r="G27" s="32">
        <f>F27*100/1.88</f>
        <v>78.19148936170214</v>
      </c>
      <c r="H27" s="47"/>
      <c r="I27" s="54"/>
      <c r="J27" s="51"/>
      <c r="K27" s="51"/>
      <c r="L27" s="51"/>
      <c r="M27" s="46"/>
      <c r="N27" s="55"/>
    </row>
    <row r="28" spans="8:14" ht="15">
      <c r="H28" s="56"/>
      <c r="I28" s="54"/>
      <c r="J28" s="51"/>
      <c r="K28" s="51"/>
      <c r="L28" s="51"/>
      <c r="M28" s="46"/>
      <c r="N28" s="55"/>
    </row>
    <row r="29" spans="1:14" ht="15">
      <c r="A29" s="35" t="s">
        <v>75</v>
      </c>
      <c r="H29" s="56"/>
      <c r="I29" s="54"/>
      <c r="J29" s="57"/>
      <c r="K29" s="57"/>
      <c r="L29" s="54"/>
      <c r="M29" s="46"/>
      <c r="N29" s="55"/>
    </row>
    <row r="30" spans="1:14" ht="30.75">
      <c r="A30" s="39" t="s">
        <v>97</v>
      </c>
      <c r="B30" s="58" t="s">
        <v>98</v>
      </c>
      <c r="C30" s="59">
        <f>C20*C26/100</f>
        <v>2473.254</v>
      </c>
      <c r="D30" s="39" t="s">
        <v>99</v>
      </c>
      <c r="E30" s="58" t="s">
        <v>100</v>
      </c>
      <c r="F30" s="59">
        <f>E20*C26/100</f>
        <v>4122.09</v>
      </c>
      <c r="H30" s="56"/>
      <c r="I30" s="54"/>
      <c r="J30" s="57"/>
      <c r="K30" s="57"/>
      <c r="L30" s="54"/>
      <c r="M30" s="54"/>
      <c r="N30" s="55"/>
    </row>
    <row r="31" spans="1:14" ht="30.75">
      <c r="A31" s="39" t="s">
        <v>101</v>
      </c>
      <c r="B31" s="58" t="s">
        <v>102</v>
      </c>
      <c r="C31" s="59">
        <f>C20*C27/100</f>
        <v>8866.746</v>
      </c>
      <c r="D31" s="39" t="s">
        <v>103</v>
      </c>
      <c r="E31" s="58" t="s">
        <v>104</v>
      </c>
      <c r="F31" s="59">
        <f>E20*C27/100</f>
        <v>14777.91</v>
      </c>
      <c r="H31" s="56"/>
      <c r="I31" s="54"/>
      <c r="J31" s="51"/>
      <c r="K31" s="51"/>
      <c r="L31" s="51"/>
      <c r="M31" s="46"/>
      <c r="N31" s="55"/>
    </row>
    <row r="32" spans="1:14" ht="15">
      <c r="A32" s="31" t="s">
        <v>82</v>
      </c>
      <c r="B32" s="45"/>
      <c r="C32" s="60">
        <f>C31+C30</f>
        <v>11340</v>
      </c>
      <c r="D32" s="45" t="s">
        <v>105</v>
      </c>
      <c r="F32" s="60">
        <f>F31+F30</f>
        <v>18900</v>
      </c>
      <c r="H32" s="56"/>
      <c r="I32" s="54"/>
      <c r="J32" s="51"/>
      <c r="K32" s="51"/>
      <c r="L32" s="51"/>
      <c r="M32" s="46"/>
      <c r="N32" s="55"/>
    </row>
    <row r="33" spans="1:14" ht="15">
      <c r="A33" s="41" t="s">
        <v>83</v>
      </c>
      <c r="C33" s="42">
        <f>C20-C32</f>
        <v>0</v>
      </c>
      <c r="D33" s="61"/>
      <c r="E33" s="61"/>
      <c r="F33" s="42">
        <f>E20-F32</f>
        <v>0</v>
      </c>
      <c r="H33" s="56"/>
      <c r="I33" s="54"/>
      <c r="J33" s="51"/>
      <c r="K33" s="51"/>
      <c r="L33" s="51"/>
      <c r="M33" s="46"/>
      <c r="N33" s="55"/>
    </row>
    <row r="34" spans="1:14" ht="15">
      <c r="A34" s="62"/>
      <c r="H34" s="56"/>
      <c r="I34" s="54"/>
      <c r="J34" s="51"/>
      <c r="K34" s="51"/>
      <c r="L34" s="51"/>
      <c r="M34" s="46"/>
      <c r="N34" s="55"/>
    </row>
    <row r="35" spans="1:14" s="34" customFormat="1" ht="12.75" customHeight="1">
      <c r="A35" s="129" t="s">
        <v>106</v>
      </c>
      <c r="B35" s="129"/>
      <c r="C35" s="129"/>
      <c r="D35" s="129"/>
      <c r="E35" s="129"/>
      <c r="F35" s="129"/>
      <c r="G35" s="129"/>
      <c r="H35" s="47"/>
      <c r="I35" s="63"/>
      <c r="J35" s="64"/>
      <c r="K35" s="64"/>
      <c r="L35" s="65"/>
      <c r="M35" s="65"/>
      <c r="N35" s="65"/>
    </row>
    <row r="36" spans="1:14" s="34" customFormat="1" ht="15">
      <c r="A36" s="66"/>
      <c r="H36" s="47"/>
      <c r="I36" s="63"/>
      <c r="J36" s="64"/>
      <c r="K36" s="64"/>
      <c r="L36" s="65"/>
      <c r="M36" s="65"/>
      <c r="N36" s="65"/>
    </row>
    <row r="37" spans="1:14" ht="15">
      <c r="A37" s="35" t="s">
        <v>75</v>
      </c>
      <c r="H37" s="56"/>
      <c r="I37" s="46"/>
      <c r="J37" s="46"/>
      <c r="K37" s="46"/>
      <c r="L37" s="46"/>
      <c r="M37" s="46"/>
      <c r="N37" s="67"/>
    </row>
    <row r="38" spans="1:14" ht="18.75">
      <c r="A38" s="39" t="s">
        <v>107</v>
      </c>
      <c r="B38" s="58" t="s">
        <v>108</v>
      </c>
      <c r="C38" s="68">
        <f>C30*Standards!J3</f>
        <v>494.6508</v>
      </c>
      <c r="H38" s="56"/>
      <c r="I38" s="46"/>
      <c r="J38" s="46"/>
      <c r="K38" s="46"/>
      <c r="L38" s="46"/>
      <c r="M38" s="46"/>
      <c r="N38" s="46"/>
    </row>
    <row r="39" spans="1:3" ht="18.75">
      <c r="A39" s="39" t="s">
        <v>109</v>
      </c>
      <c r="B39" s="58" t="s">
        <v>110</v>
      </c>
      <c r="C39" s="68">
        <f>C31*Standards!K3</f>
        <v>1684.6817399999998</v>
      </c>
    </row>
    <row r="40" spans="1:3" ht="18.75">
      <c r="A40" s="39" t="s">
        <v>111</v>
      </c>
      <c r="B40" s="58" t="s">
        <v>112</v>
      </c>
      <c r="C40" s="68">
        <f>C19*Standards!L3</f>
        <v>1134</v>
      </c>
    </row>
    <row r="41" ht="15">
      <c r="C41" s="45"/>
    </row>
    <row r="42" spans="1:7" ht="12.75" customHeight="1">
      <c r="A42" s="129" t="s">
        <v>113</v>
      </c>
      <c r="B42" s="129"/>
      <c r="C42" s="129"/>
      <c r="D42" s="129"/>
      <c r="E42" s="129"/>
      <c r="F42" s="129"/>
      <c r="G42" s="129"/>
    </row>
    <row r="43" ht="15">
      <c r="A43" s="35" t="s">
        <v>85</v>
      </c>
    </row>
    <row r="44" spans="2:3" ht="15">
      <c r="B44" s="31" t="s">
        <v>114</v>
      </c>
      <c r="C44" s="37">
        <f>Number_of_livestock*Standards!E3*C27/100</f>
        <v>281484</v>
      </c>
    </row>
    <row r="45" spans="2:3" ht="18">
      <c r="B45" s="69" t="s">
        <v>115</v>
      </c>
      <c r="C45" s="37">
        <f>Number_of_livestock*Standards!F3*C27/100</f>
        <v>1125.936</v>
      </c>
    </row>
    <row r="46" spans="2:3" ht="18.75">
      <c r="B46" s="58" t="s">
        <v>116</v>
      </c>
      <c r="C46" s="46">
        <v>0.0067</v>
      </c>
    </row>
    <row r="47" ht="15">
      <c r="B47" s="58"/>
    </row>
    <row r="48" spans="1:2" ht="15">
      <c r="A48" s="35" t="s">
        <v>75</v>
      </c>
      <c r="B48" s="58"/>
    </row>
    <row r="49" spans="1:5" ht="18.75">
      <c r="A49" s="39" t="s">
        <v>117</v>
      </c>
      <c r="B49" s="58" t="s">
        <v>118</v>
      </c>
      <c r="C49" s="59">
        <f>C31-(C39+(C44*C46))</f>
        <v>5296.121459999999</v>
      </c>
      <c r="E49" s="70"/>
    </row>
    <row r="50" spans="1:3" ht="18.75">
      <c r="A50" s="44" t="s">
        <v>119</v>
      </c>
      <c r="B50" s="58" t="s">
        <v>120</v>
      </c>
      <c r="C50" s="59">
        <f>F31-C39+C45</f>
        <v>14219.16426</v>
      </c>
    </row>
    <row r="51" spans="1:5" ht="15">
      <c r="A51" s="71" t="s">
        <v>83</v>
      </c>
      <c r="C51" s="72">
        <f>(C45+C12*C27/100)-(C39+C50)</f>
        <v>0</v>
      </c>
      <c r="D51" s="73"/>
      <c r="E51" s="74"/>
    </row>
    <row r="52" ht="15">
      <c r="A52" s="32"/>
    </row>
    <row r="53" spans="1:7" ht="12.75" customHeight="1">
      <c r="A53" s="130" t="s">
        <v>121</v>
      </c>
      <c r="B53" s="130"/>
      <c r="C53" s="130"/>
      <c r="D53" s="130"/>
      <c r="E53" s="130"/>
      <c r="F53" s="130"/>
      <c r="G53" s="130"/>
    </row>
    <row r="54" spans="2:7" ht="18.75">
      <c r="B54" s="58" t="s">
        <v>122</v>
      </c>
      <c r="C54" s="52">
        <v>0.2181</v>
      </c>
      <c r="E54" s="131" t="s">
        <v>123</v>
      </c>
      <c r="G54" s="75"/>
    </row>
    <row r="55" spans="2:7" ht="18.75">
      <c r="B55" s="58" t="s">
        <v>124</v>
      </c>
      <c r="C55" s="52">
        <v>0.7819</v>
      </c>
      <c r="E55" s="131"/>
      <c r="G55" s="75"/>
    </row>
    <row r="56" spans="1:7" ht="15">
      <c r="A56" s="35" t="s">
        <v>75</v>
      </c>
      <c r="B56" s="76"/>
      <c r="C56" s="46"/>
      <c r="G56" s="75"/>
    </row>
    <row r="57" spans="1:7" ht="18.75">
      <c r="A57" s="39" t="s">
        <v>125</v>
      </c>
      <c r="B57" s="58" t="s">
        <v>126</v>
      </c>
      <c r="C57" s="59">
        <f>((C30+C19)-(C38+C40))*C54</f>
        <v>1008.6259579199999</v>
      </c>
      <c r="G57" s="75"/>
    </row>
    <row r="58" spans="1:7" ht="18.75">
      <c r="A58" s="44" t="s">
        <v>127</v>
      </c>
      <c r="B58" s="58" t="s">
        <v>128</v>
      </c>
      <c r="C58" s="59">
        <f>((F30-C38)+(E19-C40))*C54</f>
        <v>1917.84908952</v>
      </c>
      <c r="G58" s="75"/>
    </row>
    <row r="59" spans="1:7" ht="18.75">
      <c r="A59" s="39" t="s">
        <v>129</v>
      </c>
      <c r="B59" s="58" t="s">
        <v>130</v>
      </c>
      <c r="C59" s="59">
        <f>C49*C55</f>
        <v>4141.037369574</v>
      </c>
      <c r="G59" s="75"/>
    </row>
    <row r="60" spans="1:7" ht="18.75">
      <c r="A60" s="44" t="s">
        <v>131</v>
      </c>
      <c r="B60" s="58" t="s">
        <v>132</v>
      </c>
      <c r="C60" s="59">
        <f>C50*C55</f>
        <v>11117.964534894</v>
      </c>
      <c r="G60" s="75"/>
    </row>
    <row r="61" spans="1:7" ht="15">
      <c r="A61" s="46"/>
      <c r="B61" s="58"/>
      <c r="C61" s="59"/>
      <c r="G61" s="75"/>
    </row>
    <row r="62" spans="1:7" ht="57.75">
      <c r="A62" s="76" t="s">
        <v>133</v>
      </c>
      <c r="B62" s="58"/>
      <c r="C62" s="59"/>
      <c r="G62" s="75"/>
    </row>
    <row r="63" spans="1:7" ht="18.75">
      <c r="A63" s="39" t="s">
        <v>134</v>
      </c>
      <c r="B63" s="58" t="s">
        <v>135</v>
      </c>
      <c r="C63" s="59">
        <f>((C30+C19)-(C38+C40))*(1-C54)</f>
        <v>3615.97724208</v>
      </c>
      <c r="G63" s="75"/>
    </row>
    <row r="64" spans="1:7" ht="18.75">
      <c r="A64" s="44" t="s">
        <v>136</v>
      </c>
      <c r="B64" s="58" t="s">
        <v>137</v>
      </c>
      <c r="C64" s="59">
        <f>((F30-C38)+(E19-C40))*(1-C54)</f>
        <v>6875.5901104800005</v>
      </c>
      <c r="G64" s="75"/>
    </row>
    <row r="65" spans="1:7" ht="18.75">
      <c r="A65" s="39" t="s">
        <v>138</v>
      </c>
      <c r="B65" s="58" t="s">
        <v>139</v>
      </c>
      <c r="C65" s="59">
        <f>C49*(1-C55)</f>
        <v>1155.0840904259996</v>
      </c>
      <c r="G65" s="75"/>
    </row>
    <row r="66" spans="1:7" ht="18.75">
      <c r="A66" s="44" t="s">
        <v>140</v>
      </c>
      <c r="B66" s="58" t="s">
        <v>141</v>
      </c>
      <c r="C66" s="59">
        <f>C50*(1-C55)</f>
        <v>3101.1997251059993</v>
      </c>
      <c r="G66" s="75"/>
    </row>
    <row r="67" spans="1:7" ht="15">
      <c r="A67" s="46"/>
      <c r="B67" s="58"/>
      <c r="C67" s="59"/>
      <c r="G67" s="75"/>
    </row>
    <row r="68" spans="1:8" s="34" customFormat="1" ht="12.75" customHeight="1">
      <c r="A68" s="129" t="s">
        <v>142</v>
      </c>
      <c r="B68" s="129"/>
      <c r="C68" s="129"/>
      <c r="D68" s="129"/>
      <c r="E68" s="129"/>
      <c r="F68" s="129"/>
      <c r="G68" s="129"/>
      <c r="H68" s="43"/>
    </row>
    <row r="69" ht="15">
      <c r="A69" s="35" t="s">
        <v>85</v>
      </c>
    </row>
    <row r="70" spans="2:4" ht="18.75">
      <c r="B70" s="32" t="s">
        <v>143</v>
      </c>
      <c r="C70" s="46">
        <v>0.1</v>
      </c>
      <c r="D70" s="32" t="s">
        <v>144</v>
      </c>
    </row>
    <row r="72" spans="1:7" ht="15">
      <c r="A72" s="35" t="s">
        <v>75</v>
      </c>
      <c r="G72" s="71"/>
    </row>
    <row r="73" spans="1:3" ht="18.75">
      <c r="A73" s="39" t="s">
        <v>145</v>
      </c>
      <c r="B73" s="58" t="s">
        <v>146</v>
      </c>
      <c r="C73" s="77">
        <f>C57+((C58-C57)*C70)</f>
        <v>1099.54827108</v>
      </c>
    </row>
    <row r="74" spans="2:3" ht="15">
      <c r="B74" s="58"/>
      <c r="C74" s="45"/>
    </row>
    <row r="75" spans="1:8" s="34" customFormat="1" ht="12.75" customHeight="1">
      <c r="A75" s="129" t="s">
        <v>147</v>
      </c>
      <c r="B75" s="129"/>
      <c r="C75" s="129"/>
      <c r="D75" s="129"/>
      <c r="E75" s="129"/>
      <c r="F75" s="129"/>
      <c r="G75" s="129"/>
      <c r="H75" s="43"/>
    </row>
    <row r="77" ht="15">
      <c r="A77" s="35" t="s">
        <v>75</v>
      </c>
    </row>
    <row r="78" spans="1:3" ht="18.75">
      <c r="A78" s="39" t="s">
        <v>148</v>
      </c>
      <c r="B78" s="58" t="s">
        <v>149</v>
      </c>
      <c r="C78" s="78">
        <f>$C$73*Standards!M3</f>
        <v>219.909654216</v>
      </c>
    </row>
    <row r="79" spans="1:3" ht="18.75">
      <c r="A79" s="39" t="s">
        <v>148</v>
      </c>
      <c r="B79" s="58" t="s">
        <v>150</v>
      </c>
      <c r="C79" s="78">
        <f>$C$73*Standards!O3</f>
        <v>10.9954827108</v>
      </c>
    </row>
    <row r="80" spans="1:3" ht="18.75">
      <c r="A80" s="39" t="s">
        <v>148</v>
      </c>
      <c r="B80" s="58" t="s">
        <v>151</v>
      </c>
      <c r="C80" s="78">
        <f>$C$73*Standards!Q3</f>
        <v>0.109954827108</v>
      </c>
    </row>
    <row r="81" spans="1:3" ht="18.75">
      <c r="A81" s="39" t="s">
        <v>148</v>
      </c>
      <c r="B81" s="58" t="s">
        <v>152</v>
      </c>
      <c r="C81" s="78">
        <f>$C$73*Standards!S3</f>
        <v>3.2986448132399997</v>
      </c>
    </row>
    <row r="82" spans="1:3" ht="18.75">
      <c r="A82" s="39" t="s">
        <v>153</v>
      </c>
      <c r="B82" s="58" t="s">
        <v>154</v>
      </c>
      <c r="C82" s="78">
        <f>$C$59*Standards!N3</f>
        <v>1118.0800897849801</v>
      </c>
    </row>
    <row r="83" spans="1:3" ht="18.75">
      <c r="A83" s="39" t="s">
        <v>153</v>
      </c>
      <c r="B83" s="58" t="s">
        <v>155</v>
      </c>
      <c r="C83" s="78">
        <f>$C$59*Standards!P3</f>
        <v>82.82074739148</v>
      </c>
    </row>
    <row r="84" spans="1:3" ht="18.75">
      <c r="A84" s="39" t="s">
        <v>153</v>
      </c>
      <c r="B84" s="58" t="s">
        <v>156</v>
      </c>
      <c r="C84" s="78">
        <f>$C$59*Standards!R3</f>
        <v>41.41037369574</v>
      </c>
    </row>
    <row r="85" spans="1:3" ht="18.75">
      <c r="A85" s="39" t="s">
        <v>153</v>
      </c>
      <c r="B85" s="58" t="s">
        <v>157</v>
      </c>
      <c r="C85" s="78">
        <f>$C$59*Standards!T3</f>
        <v>1242.3112108722</v>
      </c>
    </row>
    <row r="88" spans="1:7" ht="12.75" customHeight="1">
      <c r="A88" s="130" t="s">
        <v>158</v>
      </c>
      <c r="B88" s="130"/>
      <c r="C88" s="130"/>
      <c r="D88" s="130"/>
      <c r="E88" s="130"/>
      <c r="F88" s="130"/>
      <c r="G88" s="130"/>
    </row>
    <row r="89" spans="1:7" ht="15">
      <c r="A89" s="35" t="s">
        <v>75</v>
      </c>
      <c r="D89" s="79" t="s">
        <v>159</v>
      </c>
      <c r="F89" s="46"/>
      <c r="G89" s="79" t="s">
        <v>159</v>
      </c>
    </row>
    <row r="90" spans="1:7" ht="18.75">
      <c r="A90" s="39" t="s">
        <v>160</v>
      </c>
      <c r="B90" s="58" t="s">
        <v>161</v>
      </c>
      <c r="C90" s="70">
        <f>(C63+C73)-(C78+C79+C80+C81)</f>
        <v>4481.2117765928515</v>
      </c>
      <c r="D90" s="80">
        <f>C90*100/C91</f>
        <v>52.355953838250535</v>
      </c>
      <c r="F90" s="59">
        <f>(C30+C19+((C58-C57)*C70))-(C38+C40+C78+C79+C80+C81)</f>
        <v>4481.211776592852</v>
      </c>
      <c r="G90" s="80">
        <f>F90*100/F91</f>
        <v>52.35595383825055</v>
      </c>
    </row>
    <row r="91" spans="1:7" ht="18.75">
      <c r="A91" s="44" t="s">
        <v>162</v>
      </c>
      <c r="B91" s="58" t="s">
        <v>163</v>
      </c>
      <c r="C91" s="70">
        <f>(C64+C58)-(C78+C79+C80+C81)</f>
        <v>8559.125463432852</v>
      </c>
      <c r="D91" s="81"/>
      <c r="E91" s="58"/>
      <c r="F91" s="59">
        <f>(F30+E19)-(C38+C40+C78+C79+C80+C81)</f>
        <v>8559.125463432852</v>
      </c>
      <c r="G91" s="80"/>
    </row>
    <row r="92" spans="1:3" ht="18.75">
      <c r="A92" s="39" t="s">
        <v>164</v>
      </c>
      <c r="B92" s="58" t="s">
        <v>165</v>
      </c>
      <c r="C92" s="78">
        <f>$C$59*Standards!U3</f>
        <v>0</v>
      </c>
    </row>
    <row r="93" spans="1:7" ht="18.75">
      <c r="A93" s="39" t="s">
        <v>166</v>
      </c>
      <c r="B93" s="58" t="s">
        <v>167</v>
      </c>
      <c r="C93" s="70">
        <f>(C59+C65)-(C82+C83+C84+C85+C92)</f>
        <v>2811.4990382555993</v>
      </c>
      <c r="D93" s="80">
        <f>IF(C93=0,0,C93*100/C94)</f>
        <v>23.959171793907412</v>
      </c>
      <c r="F93" s="70">
        <f>C49-(C82+C83+C84+C85+C92)</f>
        <v>2811.4990382555993</v>
      </c>
      <c r="G93" s="82">
        <f>IF(F93=0,0,F93*100/(F94))</f>
        <v>23.95917179390741</v>
      </c>
    </row>
    <row r="94" spans="1:7" ht="18.75">
      <c r="A94" s="44" t="s">
        <v>168</v>
      </c>
      <c r="B94" s="58" t="s">
        <v>169</v>
      </c>
      <c r="C94" s="70">
        <f>(C60+C66)-(C82+C83+C84+C85+C92)</f>
        <v>11734.541838255598</v>
      </c>
      <c r="E94" s="58"/>
      <c r="F94" s="70">
        <f>C50-(C82+C83+C84+C85+C92)</f>
        <v>11734.5418382556</v>
      </c>
      <c r="G94" s="83"/>
    </row>
    <row r="95" spans="1:8" s="72" customFormat="1" ht="15">
      <c r="A95" s="84" t="s">
        <v>83</v>
      </c>
      <c r="B95" s="85" t="s">
        <v>170</v>
      </c>
      <c r="C95" s="42">
        <f>((C73+(((C19+C30)-(C38+C40))*(1-C54)))-(C78+C79+C80+C81))-F90</f>
        <v>0</v>
      </c>
      <c r="D95" s="42"/>
      <c r="E95" s="86"/>
      <c r="F95" s="42">
        <f>((E19+(E20*C26/100))-(C38+C40+C78+C79+C80+C81))-F91</f>
        <v>0</v>
      </c>
      <c r="G95" s="61"/>
      <c r="H95" s="87"/>
    </row>
    <row r="96" spans="1:8" s="89" customFormat="1" ht="15">
      <c r="A96" s="62"/>
      <c r="B96" s="88" t="s">
        <v>171</v>
      </c>
      <c r="C96" s="42">
        <f>(C31-((C44*C46)+C39+C82+C83+C84+C85+C92))-F93</f>
        <v>0</v>
      </c>
      <c r="D96" s="75"/>
      <c r="E96" s="75"/>
      <c r="F96" s="42">
        <f>(F31+C45)-(C39+C82+C83+C84+C85+C92)-F94</f>
        <v>0</v>
      </c>
      <c r="H96" s="62"/>
    </row>
    <row r="97" ht="15"/>
    <row r="98" spans="1:7" ht="12.75" customHeight="1">
      <c r="A98" s="130" t="s">
        <v>172</v>
      </c>
      <c r="B98" s="130"/>
      <c r="C98" s="130"/>
      <c r="D98" s="130"/>
      <c r="E98" s="130"/>
      <c r="F98" s="130"/>
      <c r="G98" s="130"/>
    </row>
    <row r="99" ht="15"/>
    <row r="100" ht="15">
      <c r="A100" s="35" t="s">
        <v>75</v>
      </c>
    </row>
    <row r="101" spans="1:3" ht="19.5">
      <c r="A101" s="44" t="s">
        <v>173</v>
      </c>
      <c r="B101" s="90" t="s">
        <v>174</v>
      </c>
      <c r="C101" s="91">
        <f>F90*Standards!V3</f>
        <v>2464.666477126069</v>
      </c>
    </row>
    <row r="102" spans="1:3" ht="19.5">
      <c r="A102" s="44" t="s">
        <v>175</v>
      </c>
      <c r="B102" s="90" t="s">
        <v>176</v>
      </c>
      <c r="C102" s="91">
        <f>F93*Standards!W3</f>
        <v>2221.0842402219237</v>
      </c>
    </row>
    <row r="103" ht="15">
      <c r="A103" s="32"/>
    </row>
    <row r="105" spans="1:7" ht="12.75" customHeight="1">
      <c r="A105" s="130" t="s">
        <v>177</v>
      </c>
      <c r="B105" s="130"/>
      <c r="C105" s="130"/>
      <c r="D105" s="130"/>
      <c r="E105" s="130"/>
      <c r="F105" s="130"/>
      <c r="G105" s="130"/>
    </row>
    <row r="106" ht="15">
      <c r="A106" s="35" t="s">
        <v>75</v>
      </c>
    </row>
    <row r="108" spans="1:3" ht="18.75">
      <c r="A108" s="39" t="s">
        <v>178</v>
      </c>
      <c r="B108" s="58" t="s">
        <v>179</v>
      </c>
      <c r="C108" s="45">
        <f>F90-C101</f>
        <v>2016.5452994667835</v>
      </c>
    </row>
    <row r="109" spans="1:6" ht="18.75">
      <c r="A109" s="44" t="s">
        <v>180</v>
      </c>
      <c r="B109" s="58" t="s">
        <v>181</v>
      </c>
      <c r="C109" s="60">
        <f>F91-C101</f>
        <v>6094.458986306783</v>
      </c>
      <c r="E109" s="58"/>
      <c r="F109" s="45"/>
    </row>
    <row r="110" spans="1:3" ht="18.75">
      <c r="A110" s="39" t="s">
        <v>182</v>
      </c>
      <c r="B110" s="58" t="s">
        <v>183</v>
      </c>
      <c r="C110" s="60">
        <f>F93-C102</f>
        <v>590.4147980336757</v>
      </c>
    </row>
    <row r="111" spans="1:3" ht="18.75">
      <c r="A111" s="44" t="s">
        <v>184</v>
      </c>
      <c r="B111" s="58" t="s">
        <v>185</v>
      </c>
      <c r="C111" s="60">
        <f>F94-C102</f>
        <v>9513.457598033676</v>
      </c>
    </row>
    <row r="113" spans="1:7" ht="12.75" customHeight="1">
      <c r="A113" s="130" t="s">
        <v>186</v>
      </c>
      <c r="B113" s="130"/>
      <c r="C113" s="130"/>
      <c r="D113" s="130"/>
      <c r="E113" s="130"/>
      <c r="F113" s="130"/>
      <c r="G113" s="130"/>
    </row>
    <row r="114" ht="15">
      <c r="A114" s="35" t="s">
        <v>75</v>
      </c>
    </row>
    <row r="115" spans="1:3" ht="18.75">
      <c r="A115" s="39" t="s">
        <v>187</v>
      </c>
      <c r="B115" s="58" t="s">
        <v>188</v>
      </c>
      <c r="C115" s="92">
        <f>C18*Standards!X3</f>
        <v>0</v>
      </c>
    </row>
    <row r="116" spans="1:6" ht="28.5">
      <c r="A116" s="31" t="s">
        <v>189</v>
      </c>
      <c r="B116" s="32" t="s">
        <v>190</v>
      </c>
      <c r="C116" s="45">
        <f>C18-C115</f>
        <v>0</v>
      </c>
      <c r="E116" s="32" t="s">
        <v>191</v>
      </c>
      <c r="F116" s="60">
        <f>E18-C115</f>
        <v>0</v>
      </c>
    </row>
    <row r="117" spans="1:8" s="71" customFormat="1" ht="15">
      <c r="A117" s="41" t="s">
        <v>83</v>
      </c>
      <c r="C117" s="93">
        <f>C18-C116-C115</f>
        <v>0</v>
      </c>
      <c r="D117" s="93"/>
      <c r="E117" s="93"/>
      <c r="F117" s="42">
        <f>(E18-C115)-F116</f>
        <v>0</v>
      </c>
      <c r="H117" s="62"/>
    </row>
    <row r="118" ht="15"/>
    <row r="119" spans="1:3" ht="15">
      <c r="A119" s="32" t="s">
        <v>192</v>
      </c>
      <c r="C119" s="38">
        <f>C13+C45</f>
        <v>26325.936</v>
      </c>
    </row>
    <row r="120" spans="1:3" ht="15">
      <c r="A120" s="32" t="s">
        <v>193</v>
      </c>
      <c r="C120" s="38">
        <f>(C38+C39+C40+C78+C79+C80+C81+C82+C83+C84+C85+C92+C101+C102+C115)+(C109+C111+F116)</f>
        <v>26325.936</v>
      </c>
    </row>
    <row r="121" spans="1:3" ht="15">
      <c r="A121" s="41" t="s">
        <v>194</v>
      </c>
      <c r="C121" s="93">
        <f>C119-C120</f>
        <v>0</v>
      </c>
    </row>
    <row r="122" ht="15">
      <c r="C122" s="38"/>
    </row>
    <row r="123" ht="15">
      <c r="C123" s="38"/>
    </row>
  </sheetData>
  <sheetProtection selectLockedCells="1" selectUnlockedCells="1"/>
  <mergeCells count="13">
    <mergeCell ref="A113:G113"/>
    <mergeCell ref="E54:E55"/>
    <mergeCell ref="A68:G68"/>
    <mergeCell ref="A75:G75"/>
    <mergeCell ref="A88:G88"/>
    <mergeCell ref="A98:G98"/>
    <mergeCell ref="A105:G105"/>
    <mergeCell ref="A1:G1"/>
    <mergeCell ref="A16:G16"/>
    <mergeCell ref="A24:G24"/>
    <mergeCell ref="A35:G35"/>
    <mergeCell ref="A42:G42"/>
    <mergeCell ref="A53:G53"/>
  </mergeCells>
  <printOptions/>
  <pageMargins left="0.5902777777777778" right="0.2361111111111111" top="0.6298611111111111" bottom="0.6298611111111111" header="0.15763888888888888" footer="0.15763888888888888"/>
  <pageSetup firstPageNumber="33" useFirstPageNumber="1" horizontalDpi="300" verticalDpi="300" orientation="portrait" paperSize="9" r:id="rId3"/>
  <headerFooter alignWithMargins="0">
    <oddHeader xml:space="preserve">&amp;L5 PRIEDAS. Amoniako, N2O, NO, LOJ, KD taršos įvertinimas iš 2 tvarto (užtrūkusios karvės) </oddHead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Layout" workbookViewId="0" topLeftCell="A4">
      <selection activeCell="E29" sqref="E29"/>
    </sheetView>
  </sheetViews>
  <sheetFormatPr defaultColWidth="9.140625" defaultRowHeight="12.75"/>
  <cols>
    <col min="1" max="1" width="30.28125" style="94" customWidth="1"/>
    <col min="2" max="2" width="10.7109375" style="94" customWidth="1"/>
    <col min="3" max="4" width="9.140625" style="94" customWidth="1"/>
    <col min="5" max="5" width="12.7109375" style="94" customWidth="1"/>
    <col min="6" max="6" width="13.57421875" style="94" customWidth="1"/>
    <col min="7" max="7" width="9.140625" style="94" customWidth="1"/>
  </cols>
  <sheetData>
    <row r="1" spans="1:7" ht="15">
      <c r="A1" s="47" t="s">
        <v>195</v>
      </c>
      <c r="B1" s="48"/>
      <c r="C1" s="48"/>
      <c r="D1" s="48"/>
      <c r="E1" s="48"/>
      <c r="F1" s="48"/>
      <c r="G1" s="48"/>
    </row>
    <row r="2" spans="1:7" ht="15">
      <c r="A2" s="47"/>
      <c r="B2" s="95" t="s">
        <v>196</v>
      </c>
      <c r="C2" s="95"/>
      <c r="D2" s="95"/>
      <c r="E2" s="95"/>
      <c r="F2" s="48"/>
      <c r="G2" s="48"/>
    </row>
    <row r="3" spans="1:7" ht="36" customHeight="1">
      <c r="A3" s="96" t="s">
        <v>197</v>
      </c>
      <c r="B3" s="96" t="s">
        <v>198</v>
      </c>
      <c r="C3" s="96" t="s">
        <v>199</v>
      </c>
      <c r="D3" s="97" t="s">
        <v>200</v>
      </c>
      <c r="E3" s="96" t="s">
        <v>201</v>
      </c>
      <c r="F3" s="96" t="s">
        <v>202</v>
      </c>
      <c r="G3" s="98"/>
    </row>
    <row r="4" spans="1:7" ht="22.5" customHeight="1">
      <c r="A4" s="99" t="s">
        <v>203</v>
      </c>
      <c r="B4" s="100">
        <f>'Dairy example'!C38*17/14</f>
        <v>600.6474</v>
      </c>
      <c r="C4" s="101"/>
      <c r="D4" s="101"/>
      <c r="E4" s="101"/>
      <c r="F4" s="102"/>
      <c r="G4" s="103"/>
    </row>
    <row r="5" spans="1:7" ht="22.5" customHeight="1">
      <c r="A5" s="99" t="s">
        <v>204</v>
      </c>
      <c r="B5" s="104">
        <f>'Dairy example'!C39*17/14</f>
        <v>2045.6849699999998</v>
      </c>
      <c r="C5" s="105"/>
      <c r="D5" s="105"/>
      <c r="E5" s="105"/>
      <c r="F5" s="106"/>
      <c r="G5" s="103"/>
    </row>
    <row r="6" spans="1:7" ht="22.5" customHeight="1">
      <c r="A6" s="99" t="s">
        <v>205</v>
      </c>
      <c r="B6" s="104">
        <f>'Dairy example'!C40*17/14</f>
        <v>1377</v>
      </c>
      <c r="C6" s="105"/>
      <c r="D6" s="105"/>
      <c r="E6" s="105"/>
      <c r="F6" s="106"/>
      <c r="G6" s="103"/>
    </row>
    <row r="7" spans="1:7" ht="22.5" customHeight="1">
      <c r="A7" s="99" t="s">
        <v>206</v>
      </c>
      <c r="B7" s="104">
        <f>'Dairy example'!C78*17/14</f>
        <v>267.03315154800003</v>
      </c>
      <c r="C7" s="107">
        <f>'Dairy example'!C79*44/28</f>
        <v>17.2786156884</v>
      </c>
      <c r="D7" s="107">
        <f>'Dairy example'!C80*30/14</f>
        <v>0.23561748666000001</v>
      </c>
      <c r="E7" s="104">
        <f>'Dairy example'!C81</f>
        <v>3.2986448132399997</v>
      </c>
      <c r="F7" s="106"/>
      <c r="G7" s="103"/>
    </row>
    <row r="8" spans="1:7" ht="22.5" customHeight="1">
      <c r="A8" s="99" t="s">
        <v>207</v>
      </c>
      <c r="B8" s="104">
        <f>'Dairy example'!C82*17/14</f>
        <v>1357.6686804531903</v>
      </c>
      <c r="C8" s="107">
        <f>'Dairy example'!C83*44/28</f>
        <v>130.14688875804</v>
      </c>
      <c r="D8" s="107">
        <f>'Dairy example'!C84*30/14</f>
        <v>88.7365150623</v>
      </c>
      <c r="E8" s="104">
        <f>'Dairy example'!C85</f>
        <v>1242.3112108722</v>
      </c>
      <c r="F8" s="104">
        <f>'Dairy example'!C92*62/14</f>
        <v>0</v>
      </c>
      <c r="G8" s="103"/>
    </row>
    <row r="9" spans="1:7" ht="22.5" customHeight="1">
      <c r="A9" s="99" t="s">
        <v>208</v>
      </c>
      <c r="B9" s="104">
        <f>'Dairy example'!C101*17/14</f>
        <v>2992.809293653084</v>
      </c>
      <c r="C9" s="105"/>
      <c r="D9" s="105"/>
      <c r="E9" s="105"/>
      <c r="F9" s="106"/>
      <c r="G9" s="103"/>
    </row>
    <row r="10" spans="1:7" ht="22.5" customHeight="1">
      <c r="A10" s="99" t="s">
        <v>209</v>
      </c>
      <c r="B10" s="104">
        <f>'Dairy example'!C102*17/14</f>
        <v>2697.030863126621</v>
      </c>
      <c r="C10" s="105"/>
      <c r="D10" s="105"/>
      <c r="E10" s="105"/>
      <c r="F10" s="106"/>
      <c r="G10" s="103"/>
    </row>
    <row r="11" spans="1:7" ht="22.5" customHeight="1">
      <c r="A11" s="99" t="s">
        <v>210</v>
      </c>
      <c r="B11" s="108">
        <f>'Dairy example'!C115*17/14</f>
        <v>0</v>
      </c>
      <c r="C11" s="109"/>
      <c r="D11" s="109"/>
      <c r="E11" s="109"/>
      <c r="F11" s="110"/>
      <c r="G11" s="103"/>
    </row>
    <row r="12" spans="1:7" ht="8.25" customHeight="1">
      <c r="A12" s="111"/>
      <c r="B12" s="112"/>
      <c r="C12" s="98"/>
      <c r="D12" s="98"/>
      <c r="E12" s="98"/>
      <c r="F12" s="113"/>
      <c r="G12" s="103"/>
    </row>
    <row r="13" spans="1:7" ht="22.5" customHeight="1">
      <c r="A13" s="114" t="s">
        <v>82</v>
      </c>
      <c r="B13" s="115">
        <f>SUM(B4:B11)</f>
        <v>11337.874358780895</v>
      </c>
      <c r="C13" s="116">
        <f>SUM(C4:C11)</f>
        <v>147.42550444644002</v>
      </c>
      <c r="D13" s="116">
        <f>SUM(D4:D11)</f>
        <v>88.97213254896</v>
      </c>
      <c r="E13" s="117">
        <f>SUM(E4:E11)</f>
        <v>1245.60985568544</v>
      </c>
      <c r="F13" s="117">
        <f>SUM(F4:F11)</f>
        <v>0</v>
      </c>
      <c r="G13" s="118"/>
    </row>
    <row r="14" spans="1:7" ht="15">
      <c r="A14" s="123"/>
      <c r="B14" s="127"/>
      <c r="C14" s="119"/>
      <c r="D14" s="119"/>
      <c r="E14" s="119"/>
      <c r="F14" s="119"/>
      <c r="G14" s="120"/>
    </row>
    <row r="15" spans="1:7" ht="18.75">
      <c r="A15" s="124" t="s">
        <v>229</v>
      </c>
      <c r="B15" s="46"/>
      <c r="C15" s="46"/>
      <c r="D15" s="46"/>
      <c r="E15" s="46"/>
      <c r="F15" s="46"/>
      <c r="G15" s="67"/>
    </row>
    <row r="16" spans="1:7" ht="9" customHeight="1">
      <c r="A16" s="125"/>
      <c r="B16" s="46"/>
      <c r="C16" s="46"/>
      <c r="D16" s="46"/>
      <c r="E16" s="46"/>
      <c r="F16" s="46"/>
      <c r="G16" s="46"/>
    </row>
    <row r="17" spans="1:6" ht="12.75">
      <c r="A17" s="94" t="s">
        <v>212</v>
      </c>
      <c r="B17" s="94">
        <f>Number_of_livestock</f>
        <v>240</v>
      </c>
      <c r="C17" s="94">
        <f>Number_of_livestock</f>
        <v>240</v>
      </c>
      <c r="D17" s="94">
        <f>Number_of_livestock</f>
        <v>240</v>
      </c>
      <c r="E17" s="94">
        <f>Number_of_livestock</f>
        <v>240</v>
      </c>
      <c r="F17" s="94">
        <f>Number_of_livestock</f>
        <v>240</v>
      </c>
    </row>
    <row r="18" spans="1:6" ht="15.75">
      <c r="A18" s="94" t="s">
        <v>213</v>
      </c>
      <c r="B18" s="94" t="s">
        <v>214</v>
      </c>
      <c r="C18" s="94" t="s">
        <v>215</v>
      </c>
      <c r="D18" s="94" t="s">
        <v>216</v>
      </c>
      <c r="E18" s="94" t="s">
        <v>217</v>
      </c>
      <c r="F18" s="94" t="s">
        <v>218</v>
      </c>
    </row>
    <row r="19" spans="1:5" ht="15.75">
      <c r="A19" s="94" t="s">
        <v>219</v>
      </c>
      <c r="B19" s="94">
        <v>1.38</v>
      </c>
      <c r="C19" s="94">
        <v>0.63</v>
      </c>
      <c r="D19" s="94">
        <v>0.41</v>
      </c>
      <c r="E19" s="94">
        <v>17.937</v>
      </c>
    </row>
    <row r="20" spans="1:5" ht="53.25" customHeight="1">
      <c r="A20" s="94" t="s">
        <v>220</v>
      </c>
      <c r="B20" s="121" t="s">
        <v>221</v>
      </c>
      <c r="C20" s="121" t="s">
        <v>221</v>
      </c>
      <c r="D20" s="121" t="s">
        <v>221</v>
      </c>
      <c r="E20" s="121" t="s">
        <v>222</v>
      </c>
    </row>
    <row r="21" spans="1:6" ht="27.75" customHeight="1">
      <c r="A21" s="121" t="s">
        <v>223</v>
      </c>
      <c r="B21" s="94">
        <v>365</v>
      </c>
      <c r="C21" s="94">
        <v>365</v>
      </c>
      <c r="D21" s="94">
        <v>365</v>
      </c>
      <c r="E21" s="94">
        <v>365</v>
      </c>
      <c r="F21" s="94">
        <v>365</v>
      </c>
    </row>
    <row r="22" spans="1:6" ht="25.5">
      <c r="A22" s="121" t="s">
        <v>224</v>
      </c>
      <c r="B22" s="94">
        <v>1</v>
      </c>
      <c r="C22" s="94">
        <v>1</v>
      </c>
      <c r="D22" s="94">
        <v>1</v>
      </c>
      <c r="E22" s="94">
        <v>1</v>
      </c>
      <c r="F22" s="94">
        <v>1</v>
      </c>
    </row>
    <row r="23" spans="1:7" ht="31.5">
      <c r="A23" s="121" t="s">
        <v>225</v>
      </c>
      <c r="B23" s="94">
        <f>B17*B19*B22</f>
        <v>331.2</v>
      </c>
      <c r="C23" s="94">
        <f>C17*C19*C22</f>
        <v>151.2</v>
      </c>
      <c r="D23" s="94">
        <f>D17*D19*D22</f>
        <v>98.39999999999999</v>
      </c>
      <c r="E23" s="94">
        <f>E17*E19*E22</f>
        <v>4304.88</v>
      </c>
      <c r="F23" s="126">
        <f>B4+B5</f>
        <v>2646.3323699999996</v>
      </c>
      <c r="G23" s="126"/>
    </row>
    <row r="24" spans="1:7" ht="38.25">
      <c r="A24" s="121" t="s">
        <v>235</v>
      </c>
      <c r="F24" s="126">
        <f>F23/12</f>
        <v>220.52769749999996</v>
      </c>
      <c r="G24" s="126"/>
    </row>
    <row r="25" spans="1:7" ht="27">
      <c r="A25" s="121" t="s">
        <v>211</v>
      </c>
      <c r="B25" s="122">
        <f>B23*1000/B21/24/3600</f>
        <v>0.01050228310502283</v>
      </c>
      <c r="C25" s="122">
        <f>C23*1000/C21/24/3600</f>
        <v>0.004794520547945206</v>
      </c>
      <c r="D25" s="122">
        <f>D23*1000/D21/24/3600</f>
        <v>0.003120243531202435</v>
      </c>
      <c r="E25" s="122">
        <f>E23*1000/E21/24/3600</f>
        <v>0.13650684931506848</v>
      </c>
      <c r="F25" s="122">
        <f>F24*1000/F21/24/3600</f>
        <v>0.00699288741438356</v>
      </c>
      <c r="G25" s="122"/>
    </row>
    <row r="26" ht="12.75">
      <c r="A26" s="121"/>
    </row>
    <row r="27" ht="12.75">
      <c r="A27" s="121"/>
    </row>
    <row r="28" ht="12.75">
      <c r="A28" s="128" t="s">
        <v>230</v>
      </c>
    </row>
    <row r="29" spans="1:2" ht="15.75">
      <c r="A29" s="121" t="s">
        <v>231</v>
      </c>
      <c r="B29" s="126">
        <f>B6</f>
        <v>1377</v>
      </c>
    </row>
    <row r="30" spans="1:2" ht="38.25">
      <c r="A30" s="121" t="s">
        <v>236</v>
      </c>
      <c r="B30" s="126">
        <f>B29/15</f>
        <v>91.8</v>
      </c>
    </row>
    <row r="31" spans="1:2" ht="25.5">
      <c r="A31" s="121" t="s">
        <v>232</v>
      </c>
      <c r="B31" s="94">
        <v>185</v>
      </c>
    </row>
    <row r="32" spans="1:2" ht="25.5">
      <c r="A32" s="121" t="s">
        <v>233</v>
      </c>
      <c r="B32" s="94">
        <f>B31*24</f>
        <v>4440</v>
      </c>
    </row>
    <row r="33" spans="1:2" ht="14.25">
      <c r="A33" s="94" t="s">
        <v>234</v>
      </c>
      <c r="B33" s="122">
        <f>B30*1000/B32/3600</f>
        <v>0.0057432432432432436</v>
      </c>
    </row>
  </sheetData>
  <sheetProtection selectLockedCells="1" selectUnlockedCells="1"/>
  <printOptions/>
  <pageMargins left="0.5902777777777778" right="0.2361111111111111" top="0.6298611111111111" bottom="0.6298611111111111" header="0.15763888888888888" footer="0.15763888888888888"/>
  <pageSetup firstPageNumber="36" useFirstPageNumber="1" horizontalDpi="300" verticalDpi="300" orientation="portrait" paperSize="9" r:id="rId3"/>
  <headerFooter alignWithMargins="0">
    <oddHeader>&amp;C5 PRIEDAS. Amoniako, N2O, NO, LOJ, KD taršos įvertinimas iš 2 tvarto (užtrūkusios karvės)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2018-02-26T14:21:24Z</cp:lastPrinted>
  <dcterms:modified xsi:type="dcterms:W3CDTF">2018-02-26T14:21:50Z</dcterms:modified>
  <cp:category/>
  <cp:version/>
  <cp:contentType/>
  <cp:contentStatus/>
</cp:coreProperties>
</file>